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45" yWindow="2505" windowWidth="3960" windowHeight="1440" tabRatio="599" activeTab="1"/>
  </bookViews>
  <sheets>
    <sheet name="July-Sept." sheetId="9" r:id="rId1"/>
    <sheet name="July-Sept" sheetId="10" r:id="rId2"/>
    <sheet name="Sheet1" sheetId="11" r:id="rId3"/>
  </sheets>
  <definedNames>
    <definedName name="_xlnm.Print_Area" localSheetId="0">'July-Sept.'!$A$1:$O$50</definedName>
  </definedNames>
  <calcPr calcId="144525"/>
  <customWorkbookViews>
    <customWorkbookView name="User - Personal View" guid="{E350AB20-A813-11D9-9F9B-000EA6B6689B}" mergeInterval="0" personalView="1" maximized="1" windowWidth="796" windowHeight="438" activeSheetId="1" showComments="commIndAndComment"/>
  </customWorkbookViews>
</workbook>
</file>

<file path=xl/calcChain.xml><?xml version="1.0" encoding="utf-8"?>
<calcChain xmlns="http://schemas.openxmlformats.org/spreadsheetml/2006/main">
  <c r="J139" i="10" l="1"/>
  <c r="J136" i="10"/>
  <c r="M136" i="10" s="1"/>
  <c r="A76" i="11"/>
  <c r="J103" i="10" l="1"/>
  <c r="N112" i="10" l="1"/>
  <c r="N111" i="10"/>
  <c r="N59" i="10" l="1"/>
  <c r="N58" i="10"/>
  <c r="N57" i="10"/>
  <c r="N56" i="10"/>
  <c r="N49" i="10"/>
  <c r="N48" i="10"/>
  <c r="N40" i="10"/>
  <c r="N33" i="10"/>
  <c r="N31" i="10"/>
  <c r="N30" i="10"/>
  <c r="N29" i="10"/>
  <c r="N24" i="10"/>
  <c r="N18" i="10"/>
  <c r="N15" i="10"/>
  <c r="N113" i="10"/>
  <c r="N115" i="10" s="1"/>
  <c r="N120" i="10"/>
  <c r="N98" i="10"/>
  <c r="N97" i="10"/>
  <c r="N96" i="10"/>
  <c r="N95" i="10"/>
  <c r="N94" i="10"/>
  <c r="N92" i="10"/>
  <c r="N99" i="10" l="1"/>
  <c r="M99" i="10" s="1"/>
  <c r="M98" i="10"/>
  <c r="M97" i="10"/>
  <c r="M96" i="10"/>
  <c r="M95" i="10"/>
  <c r="M94" i="10"/>
  <c r="M92" i="10"/>
  <c r="N17" i="10" l="1"/>
  <c r="N121" i="10"/>
  <c r="N126" i="10" s="1"/>
  <c r="N62" i="10"/>
  <c r="N103" i="10" l="1"/>
  <c r="N128" i="10" s="1"/>
  <c r="J126" i="10"/>
  <c r="J115" i="10"/>
  <c r="J128" i="10" l="1"/>
  <c r="M91" i="10"/>
  <c r="M79" i="10"/>
  <c r="M78" i="10"/>
  <c r="M77" i="10"/>
  <c r="M76" i="10"/>
  <c r="M75" i="10"/>
  <c r="M74" i="10"/>
  <c r="M73" i="10"/>
  <c r="M72" i="10"/>
  <c r="M71" i="10"/>
  <c r="M70" i="10"/>
  <c r="M12" i="10" l="1"/>
  <c r="M113" i="10" l="1"/>
  <c r="M59" i="10"/>
  <c r="M58" i="10"/>
  <c r="M57" i="10"/>
  <c r="M56" i="10"/>
  <c r="M55" i="10"/>
  <c r="M54" i="10"/>
  <c r="M53" i="10"/>
  <c r="M52" i="10"/>
  <c r="M51" i="10"/>
  <c r="M50" i="10"/>
  <c r="M49" i="10"/>
  <c r="M48" i="10"/>
  <c r="M47" i="10"/>
  <c r="M17" i="10"/>
  <c r="M16" i="10"/>
  <c r="M13" i="10" l="1"/>
  <c r="M121" i="10" l="1"/>
  <c r="M120" i="10"/>
  <c r="M62" i="10"/>
  <c r="M45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5" i="10"/>
  <c r="M14" i="10"/>
  <c r="M112" i="10" l="1"/>
  <c r="M111" i="10"/>
  <c r="J92" i="9"/>
  <c r="N53" i="9" l="1"/>
  <c r="N52" i="9"/>
  <c r="N51" i="9"/>
  <c r="N48" i="9"/>
  <c r="N47" i="9"/>
  <c r="N46" i="9"/>
  <c r="N45" i="9"/>
  <c r="N44" i="9"/>
  <c r="N42" i="9"/>
  <c r="N41" i="9"/>
  <c r="N39" i="9"/>
  <c r="N37" i="9"/>
  <c r="N36" i="9"/>
  <c r="N35" i="9"/>
  <c r="N34" i="9"/>
  <c r="N33" i="9"/>
  <c r="N32" i="9"/>
  <c r="N31" i="9"/>
  <c r="N30" i="9"/>
  <c r="N29" i="9"/>
  <c r="N88" i="9"/>
  <c r="N79" i="9"/>
  <c r="N107" i="9"/>
  <c r="N108" i="9"/>
  <c r="N100" i="9"/>
  <c r="N99" i="9"/>
  <c r="N109" i="9" l="1"/>
  <c r="N54" i="9"/>
  <c r="N50" i="9"/>
  <c r="N40" i="9"/>
  <c r="N55" i="9" l="1"/>
  <c r="M55" i="9" s="1"/>
  <c r="N49" i="9"/>
  <c r="M49" i="9" s="1"/>
  <c r="M48" i="9"/>
  <c r="M47" i="9"/>
  <c r="M45" i="9"/>
  <c r="M44" i="9"/>
  <c r="M41" i="9"/>
  <c r="M40" i="9"/>
  <c r="N38" i="9"/>
  <c r="M53" i="9"/>
  <c r="M42" i="9"/>
  <c r="M14" i="9"/>
  <c r="M91" i="9"/>
  <c r="M90" i="9"/>
  <c r="M89" i="9"/>
  <c r="M88" i="9"/>
  <c r="M87" i="9"/>
  <c r="M86" i="9"/>
  <c r="M85" i="9"/>
  <c r="M84" i="9"/>
  <c r="M83" i="9"/>
  <c r="M82" i="9"/>
  <c r="M81" i="9"/>
  <c r="J100" i="9"/>
  <c r="J99" i="9"/>
  <c r="M79" i="9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7" i="9"/>
  <c r="M56" i="9"/>
  <c r="M54" i="9"/>
  <c r="M52" i="9"/>
  <c r="M51" i="9"/>
  <c r="M50" i="9"/>
  <c r="M46" i="9"/>
  <c r="M43" i="9"/>
  <c r="M39" i="9"/>
  <c r="M37" i="9"/>
  <c r="M36" i="9"/>
  <c r="M38" i="9" l="1"/>
  <c r="N92" i="9"/>
  <c r="N111" i="9" s="1"/>
  <c r="M102" i="9"/>
  <c r="J109" i="9"/>
  <c r="M108" i="9"/>
  <c r="M107" i="9"/>
  <c r="M100" i="9"/>
  <c r="M99" i="9"/>
  <c r="J111" i="9" l="1"/>
  <c r="M23" i="9"/>
  <c r="M35" i="9" l="1"/>
  <c r="M34" i="9"/>
  <c r="M33" i="9"/>
  <c r="M32" i="9"/>
  <c r="M31" i="9"/>
  <c r="M30" i="9"/>
  <c r="M29" i="9"/>
  <c r="M28" i="9"/>
  <c r="M27" i="9"/>
  <c r="M26" i="9"/>
  <c r="M25" i="9"/>
  <c r="M24" i="9"/>
  <c r="M22" i="9"/>
  <c r="M21" i="9"/>
  <c r="M20" i="9"/>
  <c r="M19" i="9"/>
  <c r="M18" i="9"/>
  <c r="M12" i="9"/>
  <c r="M17" i="9" l="1"/>
  <c r="M13" i="9"/>
  <c r="M92" i="9" l="1"/>
  <c r="M109" i="9"/>
  <c r="M111" i="9"/>
</calcChain>
</file>

<file path=xl/sharedStrings.xml><?xml version="1.0" encoding="utf-8"?>
<sst xmlns="http://schemas.openxmlformats.org/spreadsheetml/2006/main" count="613" uniqueCount="307">
  <si>
    <t xml:space="preserve">    Loans Payable</t>
  </si>
  <si>
    <t xml:space="preserve"> </t>
  </si>
  <si>
    <t>Sub - Total</t>
  </si>
  <si>
    <t>Republic of the Philippines</t>
  </si>
  <si>
    <t>PROVINCE OF COMPOSTELA VALLEY</t>
  </si>
  <si>
    <t>Capitol Building, Cabidianan, Nabunturan, Compostela Valley</t>
  </si>
  <si>
    <t xml:space="preserve">    Interest Expenses</t>
  </si>
  <si>
    <t>Provincial Budget Officer</t>
  </si>
  <si>
    <t>Grand Total</t>
  </si>
  <si>
    <t>20% COMPONENT OF THE IRA UTILIZATION</t>
  </si>
  <si>
    <t>PROGRAM OR PROJECT</t>
  </si>
  <si>
    <t>LOCATION</t>
  </si>
  <si>
    <t>TOTAL COST</t>
  </si>
  <si>
    <t>DATE STARTED</t>
  </si>
  <si>
    <t>TARGET</t>
  </si>
  <si>
    <t>COMPLETION</t>
  </si>
  <si>
    <t xml:space="preserve">DATE </t>
  </si>
  <si>
    <t>% OF</t>
  </si>
  <si>
    <t xml:space="preserve">TOTAL </t>
  </si>
  <si>
    <t>COST INCURRED</t>
  </si>
  <si>
    <t xml:space="preserve"> TO DATE </t>
  </si>
  <si>
    <t>PROJECT STATUS</t>
  </si>
  <si>
    <t>ECONOMIC DEVELOPMENT:</t>
  </si>
  <si>
    <t>Maintenance of roads/bridges - District 1</t>
  </si>
  <si>
    <t>Maintenance of roads/bridges - District 2</t>
  </si>
  <si>
    <t xml:space="preserve">    Financial Expenses</t>
  </si>
  <si>
    <t>Loan Amortization - Domestic</t>
  </si>
  <si>
    <t>Governor</t>
  </si>
  <si>
    <t xml:space="preserve"> SOCIAL DEVELOPMENT:</t>
  </si>
  <si>
    <t>Provincewide</t>
  </si>
  <si>
    <t>REMARKS</t>
  </si>
  <si>
    <t>OBLIGATION</t>
  </si>
  <si>
    <t>OBLIGATION/</t>
  </si>
  <si>
    <t>APPROPRIATION</t>
  </si>
  <si>
    <t>TOTAL</t>
  </si>
  <si>
    <t>(Project Status)</t>
  </si>
  <si>
    <t>Maragusan</t>
  </si>
  <si>
    <t>Brgy. Kiokmay, Laak</t>
  </si>
  <si>
    <t>Brgy. New Bethlehem, Laak</t>
  </si>
  <si>
    <t>Brgy. Bagong Silang, Laak</t>
  </si>
  <si>
    <t>Brgy. Cabuyuan, Mabini</t>
  </si>
  <si>
    <t>Brgy. Salvacion, Mawab</t>
  </si>
  <si>
    <t>On-going</t>
  </si>
  <si>
    <t>Paid to Land Bank of the Phils.</t>
  </si>
  <si>
    <t>EVA JEAN S. LICAYAN</t>
  </si>
  <si>
    <t>Construction and Heavy Equipment</t>
  </si>
  <si>
    <t>Brgy. New Panay, Maragusan</t>
  </si>
  <si>
    <t>Brgy. Talian, Maragusan</t>
  </si>
  <si>
    <t>Brgy. Mapawa, Maragusan</t>
  </si>
  <si>
    <t>Brgy. New Albay, Maragusan</t>
  </si>
  <si>
    <t>Brgy. Mauswagon, Maragusan</t>
  </si>
  <si>
    <t>Brgy. Coronobe, Maragusan</t>
  </si>
  <si>
    <t>Prk 1 Brgy. Paloc, Maragusan</t>
  </si>
  <si>
    <t>Laak</t>
  </si>
  <si>
    <t>Brgy. Ceboleda, Laak</t>
  </si>
  <si>
    <t>Brgy. Banbanon, Laak</t>
  </si>
  <si>
    <t>JAYVEE TYRON L. UY</t>
  </si>
  <si>
    <t>Purchase of Various Sizes of HDPE Pipes</t>
  </si>
  <si>
    <t>Distribution of Materials for Brgys. Magnaga, Bongbong, Matiao, Tambongon of Pantukan and Brgy. Pangi of Maco</t>
  </si>
  <si>
    <t>F/A Completion of Multi-Purpose Building-Barangay Lahi, Maragusan</t>
  </si>
  <si>
    <t>F/A Concreting of Barangay Road-Barangay Magcagong, Maragusan</t>
  </si>
  <si>
    <t>F/A Acquisition of Dump Truck-Barangay New Manay, Maragusan</t>
  </si>
  <si>
    <t xml:space="preserve">F/A Completion of Purok Multi-Purpose Center </t>
  </si>
  <si>
    <t>F/A Improvement of Water System</t>
  </si>
  <si>
    <t>F/A Construction of Multi-Purpose Building</t>
  </si>
  <si>
    <t>F/A Repair/Rehabilitation of Farm-to-Market Roads (FMR)</t>
  </si>
  <si>
    <t>F/A Provincial Counterpart for Special Programs/Projects</t>
  </si>
  <si>
    <t>F/A Repair/Rehabilitation of Water System</t>
  </si>
  <si>
    <t xml:space="preserve">F/A Construction/Purchase of Post Harvest Facilities </t>
  </si>
  <si>
    <t>F/A Improvement of Covered Court</t>
  </si>
  <si>
    <t>F/A Completion of Multi-Purpose Building</t>
  </si>
  <si>
    <t>F/A Construction of Covered Court</t>
  </si>
  <si>
    <t>F/A Purchase of Dump Truck</t>
  </si>
  <si>
    <t xml:space="preserve">                 Approved:</t>
  </si>
  <si>
    <t xml:space="preserve"> in this document.</t>
  </si>
  <si>
    <t>We hereby certify that we have reviewed the contents and hereby attest to the veracity and correctness of the data or information contained</t>
  </si>
  <si>
    <t xml:space="preserve">           As to Appropriation/Obligation</t>
  </si>
  <si>
    <t>Construction of Day Care Center- Sitio Cambodlot, San Miguel, Compostela</t>
  </si>
  <si>
    <t>Compostela</t>
  </si>
  <si>
    <t>Concreting of Road @ Bonifacio-Garcia St. Brgy. Poblacion, Compostela</t>
  </si>
  <si>
    <t>Brgy. Compostela</t>
  </si>
  <si>
    <t>Concreting of Road @ Emilio Aguinaldo St. Purok 1</t>
  </si>
  <si>
    <t>Brgy. Poblacion, Compostela</t>
  </si>
  <si>
    <t>Concreting of Road from Brgy. Dauman to Brgy. Concepcion, Montevista</t>
  </si>
  <si>
    <t>Brgy. Concepcion, Montevista</t>
  </si>
  <si>
    <t>Concreting of Road Brgy. San Vicente, Montevista</t>
  </si>
  <si>
    <t>Brgy. San Vicente, Montevista</t>
  </si>
  <si>
    <t>Construction of Covered Court-Brgy. Cabacungan, Nabunturan</t>
  </si>
  <si>
    <t>Brgy. Cabacungan, Nabunturan</t>
  </si>
  <si>
    <t>Construction of Covered Court-Brgy. Basak (stage), Nabunturan</t>
  </si>
  <si>
    <t>Nabunturan</t>
  </si>
  <si>
    <t>F/A-Construction of Covered Court-Brgy. Mt. Diwata, Monkayo</t>
  </si>
  <si>
    <t>Monkayo</t>
  </si>
  <si>
    <t>Concreting of FMR, Purok 5, Tagaytay, Brgy. Mipangi, Nabunturan</t>
  </si>
  <si>
    <t>Concreting of Road at Brgy. Cabacungan, Nabunturan</t>
  </si>
  <si>
    <t>Concreting of Road from Junction Nat'l. H-way to Cabidianan Annex HS</t>
  </si>
  <si>
    <t>Brgy. Nabunturan</t>
  </si>
  <si>
    <t>Concreting of Road at Mapaang Section</t>
  </si>
  <si>
    <t>Brgy. Mapaang, Maco</t>
  </si>
  <si>
    <t>Construction of Multi-Purpose Building</t>
  </si>
  <si>
    <t>Brgy. Poblacion, Mawab</t>
  </si>
  <si>
    <t>Concreting of Road from Junction National Highway to Purok 6</t>
  </si>
  <si>
    <t>Construction of Multi-Purpose Building (Council of Women)</t>
  </si>
  <si>
    <t>Brgy. Las Arenas, Pantukan</t>
  </si>
  <si>
    <t>Brgy. Poblacion, Pantukan</t>
  </si>
  <si>
    <t>Construction of Tribal Hall</t>
  </si>
  <si>
    <t>Construction of Multi-Purpose Building (Madrasah)</t>
  </si>
  <si>
    <t>Tunga, Monkayo</t>
  </si>
  <si>
    <t>Construction of Multi-Purpose Building (ABC)</t>
  </si>
  <si>
    <t>Concreting of Road from Junction National H-way to Brgy. Hall</t>
  </si>
  <si>
    <t>Bankerohan Sur, Montevista</t>
  </si>
  <si>
    <t>Concreting of Road from Prk 8-Prk 7 to Junction National</t>
  </si>
  <si>
    <t>Montevista</t>
  </si>
  <si>
    <t>F/A Construction of Hanging Bridge (footbridge) Prk 9</t>
  </si>
  <si>
    <t>Salvacion, Monkayo</t>
  </si>
  <si>
    <t>F/A Construction of Slaughter House, Pantukan</t>
  </si>
  <si>
    <t>Pantukan</t>
  </si>
  <si>
    <t>Rehab. Of Brgy. Poblacion-Brgy. Naboc FMR, Monkayo (PRDP-BUILD)</t>
  </si>
  <si>
    <t>Const. of five (5) units Warehouse with solar dryer (PRDP-OTHER-INFRA)</t>
  </si>
  <si>
    <t>Brgy. Maparat, Compostela</t>
  </si>
  <si>
    <t>Brgy. Libasan, Nabunturan</t>
  </si>
  <si>
    <t>Brgy. Linda, Nabunturan</t>
  </si>
  <si>
    <t>Brgy. Kilagding, Laak</t>
  </si>
  <si>
    <t>Const. of Tribal Hall, Brgy. Elizalde, Maco (OPPAP-PAMANA)</t>
  </si>
  <si>
    <t>Brgy. Elizalde, Maco</t>
  </si>
  <si>
    <t>Brgy. New Bataan</t>
  </si>
  <si>
    <t>Const. of Tribal Hall, Brgy. Bongbong, Pantukan (OPPAP-PAMANA)</t>
  </si>
  <si>
    <t>Brgy. Bongbong, Pantukan</t>
  </si>
  <si>
    <t>Const. of Tribal Hall, Brgy. Poblacion, Monkayo (OPPAP-PAMANA)</t>
  </si>
  <si>
    <t>Brgy. Poblacion, Monkayo</t>
  </si>
  <si>
    <t>Const. of Tribal Hall, Brgy. Poblacion, Laak (OPPAP-PAMANA)</t>
  </si>
  <si>
    <t>Brgy. Pob. Laak</t>
  </si>
  <si>
    <t>Const. of Tribal Hall, Brgy. Poblacion, Mabini (OPPAP-PAMANA)</t>
  </si>
  <si>
    <t>Brgy. Pob. Mabini</t>
  </si>
  <si>
    <t>Const. of Tribal Hall, Brgy. New Panay, Maragusan (OPPAP-PAMANA)</t>
  </si>
  <si>
    <t>Const. of Tribal Hall, Brgy. Ngan, Compostela (OPPAP-PAMANA)</t>
  </si>
  <si>
    <t>Brgy. Ngan, Compostela</t>
  </si>
  <si>
    <t>Tablea Processing &amp; Marketing Enterprise (PRDP-I-REAP)</t>
  </si>
  <si>
    <t>Camp Manuel Yan Eco-Tourism &amp; Tribal Park Dev't. (TIEZA)</t>
  </si>
  <si>
    <t>Mawab</t>
  </si>
  <si>
    <t>COMVAL Farm Agri-Eco-Tourism Development (TIEZA) Pasian, Monkayo</t>
  </si>
  <si>
    <t>Pasian, Monkayo</t>
  </si>
  <si>
    <t>Other Special Projects (Provincial Counterpart)</t>
  </si>
  <si>
    <t>Completion of Health Center Brgy. Magading, Nabunturan</t>
  </si>
  <si>
    <t>Completion of Mp-Bldg. (Madrash) Tunga, Magnaga</t>
  </si>
  <si>
    <t>Magading, Nabunturan</t>
  </si>
  <si>
    <t>Magnaga</t>
  </si>
  <si>
    <t xml:space="preserve">Construction of Drainage at Purok Kauswagan, Purok Bagong, Lipunan, and </t>
  </si>
  <si>
    <t>Purok Maga Chapoy Brgy. Mapawa, Maragusan</t>
  </si>
  <si>
    <t>Completion of Community Activity Center of Brgy. San Jose, Compostela</t>
  </si>
  <si>
    <t>Brgy. San Jose, Compostela</t>
  </si>
  <si>
    <t>Rehabilitation of Water System from Purok 1-6, Brgy. Ampawid, Laak</t>
  </si>
  <si>
    <t>Brgy. Ampawid, Laak</t>
  </si>
  <si>
    <t>Renovation of Multi-Purpose Building in Special Brgy. Libuton, laak</t>
  </si>
  <si>
    <t>Brgy. Libuton, Laak</t>
  </si>
  <si>
    <t>Completion of Brgy. Tribal Council Building of Brgy. Cabuyoan, Mabini</t>
  </si>
  <si>
    <t>Brgy. Cabuyoan, Mabini</t>
  </si>
  <si>
    <t xml:space="preserve">Construction of Protection Dike &amp; Dessilting of Liboton River at Prk 2A </t>
  </si>
  <si>
    <t>Brgy. Salvacion, Monkayo</t>
  </si>
  <si>
    <t>Construction of Hanging Bridge at Purok 4 Brgy. Upper Ulip, Monkayo</t>
  </si>
  <si>
    <t>Brgy. Upper Ulip, Monkayo</t>
  </si>
  <si>
    <t>Concreting of Brgy. Road Brgy. Bankerohan Sur,Montevista</t>
  </si>
  <si>
    <t>Brgy. Sur Montevista</t>
  </si>
  <si>
    <t>Enhancement of Banana Cardava Consolidation and Marketing, New Bataan</t>
  </si>
  <si>
    <t>New Bataan</t>
  </si>
  <si>
    <t>Village Level Rubber Smoke Sheet Processing, Monkayo</t>
  </si>
  <si>
    <t>Brgy. Kingking, Pantukan</t>
  </si>
  <si>
    <t>Const. of Tribal Hall, Brgy. Camanlangan, New Bataan (OPPAP-PAMANA)</t>
  </si>
  <si>
    <t>W/S Improvement of Sitio Lawaan, Brgy. Kingking, Pantukan (oppap-pamana)</t>
  </si>
  <si>
    <t>Purchased Heavy Equipment</t>
  </si>
  <si>
    <t>As of Sept. 30, 2017</t>
  </si>
  <si>
    <t>8918 (C.O)</t>
  </si>
  <si>
    <t>9911 (MOOE)</t>
  </si>
  <si>
    <t>1918 (C.O)</t>
  </si>
  <si>
    <t>8917 (MOOE)</t>
  </si>
  <si>
    <t>1918 (MOOE)</t>
  </si>
  <si>
    <t>5% On-going</t>
  </si>
  <si>
    <t>20% On-going</t>
  </si>
  <si>
    <t>15% On-going</t>
  </si>
  <si>
    <t>30% 0n-going</t>
  </si>
  <si>
    <t>98% Temporarily Suspended.</t>
  </si>
  <si>
    <t>Completed</t>
  </si>
  <si>
    <t>95% On-going</t>
  </si>
  <si>
    <t>85% On-going</t>
  </si>
  <si>
    <t>Declared Savings</t>
  </si>
  <si>
    <t>Utilized</t>
  </si>
  <si>
    <t>90% On-going</t>
  </si>
  <si>
    <t>Procurement on process</t>
  </si>
  <si>
    <t>For change in Nomenclature from completion to const'n.</t>
  </si>
  <si>
    <t>Cancelled</t>
  </si>
  <si>
    <t>For Fund Transfer to Municipality (FTM)</t>
  </si>
  <si>
    <t>Program of works on process</t>
  </si>
  <si>
    <t>POW approved. For 5th Amendatory</t>
  </si>
  <si>
    <t>Appropriation</t>
  </si>
  <si>
    <t>Summary:</t>
  </si>
  <si>
    <t>Social Development</t>
  </si>
  <si>
    <t>Economic Development</t>
  </si>
  <si>
    <t>Total</t>
  </si>
  <si>
    <t>As to Project Status:</t>
  </si>
  <si>
    <t>Provincial Engineer's Office</t>
  </si>
  <si>
    <t xml:space="preserve">                      </t>
  </si>
  <si>
    <t>Provincial Planning &amp; Development Office</t>
  </si>
  <si>
    <t xml:space="preserve">                   Governor</t>
  </si>
  <si>
    <t>Completion of Covered Court-San Isidro</t>
  </si>
  <si>
    <t>Completion of Covered Court-Inambatan</t>
  </si>
  <si>
    <t>Completion of Covered Court-Haguimitan</t>
  </si>
  <si>
    <t>Completion of Multi-Purpose Hall-Casoon</t>
  </si>
  <si>
    <t>Completion of Covered Court-Mayaon</t>
  </si>
  <si>
    <t>Completion of Covered Court-Cabinuangan Elem. School</t>
  </si>
  <si>
    <t>Completion of Covered Court-Pamintaran</t>
  </si>
  <si>
    <t>Completion of Covered Court-New Albay, Maragusan</t>
  </si>
  <si>
    <t>Completion of Covered Court-Talian, Maragusan</t>
  </si>
  <si>
    <t>Completion of Covered Court-Tigbao, Maragusan</t>
  </si>
  <si>
    <t xml:space="preserve">Completion of Multi-Purpose Building-Cambagang </t>
  </si>
  <si>
    <t>Completion of Covered Court-Cadunan, Mabini</t>
  </si>
  <si>
    <t>Mabini</t>
  </si>
  <si>
    <t>Completion of Covered Court-Saosao</t>
  </si>
  <si>
    <t>Completion of Covered Court-Tuburan</t>
  </si>
  <si>
    <t>Completion of Covered Court-Concepcion</t>
  </si>
  <si>
    <t>Completion of Covered Court-Salvacion</t>
  </si>
  <si>
    <t>Completion of Covered Court-Libasan</t>
  </si>
  <si>
    <t>Completion of Covered Court-Ogao</t>
  </si>
  <si>
    <t>Completion of Covered Court-Anislagan</t>
  </si>
  <si>
    <t>Completion of Covered Court-Panamoren</t>
  </si>
  <si>
    <t>Completion of Covered Court-Sabud</t>
  </si>
  <si>
    <t>Completion of Covered Court-Ampawid</t>
  </si>
  <si>
    <t>Completion of Covered Court-Sto.Niño</t>
  </si>
  <si>
    <t>Completion of Covered Court-Sisimon</t>
  </si>
  <si>
    <t>Completion of Covered Court-Imelda</t>
  </si>
  <si>
    <t>Completion of Covered Court-Datu Ampunan</t>
  </si>
  <si>
    <t>Completion of Covered Court-Bollucan</t>
  </si>
  <si>
    <t>Completion of Covered Court-Amor Cruz</t>
  </si>
  <si>
    <t>Completion of Covered Court-Mangloy</t>
  </si>
  <si>
    <t>Completion of Covered Court-El Papa</t>
  </si>
  <si>
    <t>Completion of Covered Court-Longganapan</t>
  </si>
  <si>
    <t>Completion of Covered Court-Langtud</t>
  </si>
  <si>
    <t>Completion of Covered Court-Mabuhay</t>
  </si>
  <si>
    <t>Completion of Covered Court-Kapatagan</t>
  </si>
  <si>
    <t>Completion of Multi-Purpose Hall-New Leyte</t>
  </si>
  <si>
    <t>Maco</t>
  </si>
  <si>
    <t>Completion of Health Center-Mapaang</t>
  </si>
  <si>
    <t>Improvement of Multi-Purpose Building</t>
  </si>
  <si>
    <t>Completion of Covered Court-Kinuban</t>
  </si>
  <si>
    <t>Concreting of Road from Purok 2, to Poblacion-DENR Administration Bldg.</t>
  </si>
  <si>
    <t>Construction of PDEA Multi-Purpose Building, PPO</t>
  </si>
  <si>
    <t>Provincial Counterpart for Special Projects</t>
  </si>
  <si>
    <t>Concreting of CVPH Montevista road networks</t>
  </si>
  <si>
    <t>Concreting of CVPH Pantukan road networks</t>
  </si>
  <si>
    <t>Repair/Rehabilitation of Water System</t>
  </si>
  <si>
    <t>Repair/Rehabilitation of Farm-to-Market Roads (FMR)</t>
  </si>
  <si>
    <t>Construction of Covered Court, Brgy. Andap, Laak</t>
  </si>
  <si>
    <t>Construction of Brgy. Stage Brgy. Magnaga</t>
  </si>
  <si>
    <t>Construction of Covered Court Brgy. Banbanon, Laak</t>
  </si>
  <si>
    <t>Construction of Covered Court Brgy. Bagong Silang</t>
  </si>
  <si>
    <t>Construction of Covered Court Brgy. Kiokmay</t>
  </si>
  <si>
    <t>Construction of Covered Court Brgy. New Bethlehem</t>
  </si>
  <si>
    <t>Construction of Covered Court Brgy. Cabuyuan, Mabini</t>
  </si>
  <si>
    <t>Concreting of Road from Prk 4 to crossing going to prk 1 Baybay Brgy Tambongon</t>
  </si>
  <si>
    <t>Concreting/Upgrading of Road @ Kalantas St. Brgy. Pob to Prk Aguinaldo</t>
  </si>
  <si>
    <t>Brgy. Langgam, Maco</t>
  </si>
  <si>
    <t>Concreting of Road leading to Brgy. Hall Brgy. Andap</t>
  </si>
  <si>
    <t>Improvement of Covered Court Brgy. Fatima</t>
  </si>
  <si>
    <t>Constion of Footbridge, Log Cabin, Prk 3 Brgy Bukal</t>
  </si>
  <si>
    <t xml:space="preserve">Purchase of Lot for the Construction of MP Hall </t>
  </si>
  <si>
    <t>Brgy Bongabong, Pantukan</t>
  </si>
  <si>
    <t>Construction of Gymnasium</t>
  </si>
  <si>
    <t>Brgy. Kidawa, Laak</t>
  </si>
  <si>
    <t>Improvement of Gymnasium</t>
  </si>
  <si>
    <t>Brgy. Kahayag New Bataan</t>
  </si>
  <si>
    <t>On-going.</t>
  </si>
  <si>
    <t>Paid to Land Bank of the Philippines</t>
  </si>
  <si>
    <t xml:space="preserve"> New Bataan</t>
  </si>
  <si>
    <t>Obligation</t>
  </si>
  <si>
    <t>%of Obligation/</t>
  </si>
  <si>
    <t>Financial Expenses</t>
  </si>
  <si>
    <t>As of September 30, 2018</t>
  </si>
  <si>
    <t>Concreting of Road from Prk 3 to Prk 6 Brgy. Mainit</t>
  </si>
  <si>
    <t>Electrification of Sitio Kilabot, Brgy. Ngan, Compostela</t>
  </si>
  <si>
    <t>Declared Savings for SB#2</t>
  </si>
  <si>
    <t>Contract Bidded last Sept 12, 2018</t>
  </si>
  <si>
    <t>For Change in Nomenclature</t>
  </si>
  <si>
    <t>For abandonement. Implemented by DPWH</t>
  </si>
  <si>
    <t>Fund transfer to Municipality (FTM)</t>
  </si>
  <si>
    <t>Completed on July 31, 2018</t>
  </si>
  <si>
    <t>Completed on Sept 28, 2018</t>
  </si>
  <si>
    <t>80% on-going</t>
  </si>
  <si>
    <t>Fund Transfer to Municipality (FTM)</t>
  </si>
  <si>
    <t>For change in Nomenclature</t>
  </si>
  <si>
    <t>50% on-going</t>
  </si>
  <si>
    <t>15% on-going</t>
  </si>
  <si>
    <t>70% on-going</t>
  </si>
  <si>
    <t>Purchase Order on process</t>
  </si>
  <si>
    <t>R.I.S on process</t>
  </si>
  <si>
    <t>Contract. Notice of Award issued on Sept 18, 2018</t>
  </si>
  <si>
    <t>For abandonment. Actual road too steep etc.</t>
  </si>
  <si>
    <t>Contract Purchase Request on process</t>
  </si>
  <si>
    <t>Transfer of Funds</t>
  </si>
  <si>
    <t>Program of work approved. PPMP on process</t>
  </si>
  <si>
    <t>Contract. Purchase Request on process</t>
  </si>
  <si>
    <t>Completed on June 29, 2018</t>
  </si>
  <si>
    <t>Completed on May 31, 2018</t>
  </si>
  <si>
    <t>As of September  30, 2018</t>
  </si>
  <si>
    <t>Declared Savings SB#2</t>
  </si>
  <si>
    <t>(SGD.) Eva Jean S. Licayan, Enp,REB,MPA</t>
  </si>
  <si>
    <t>(SGD.) omeo B. Celeste,EnP</t>
  </si>
  <si>
    <t>(SGD.)Engr. Roderick M. Digamon</t>
  </si>
  <si>
    <t xml:space="preserve">       (SGD.) Jayvee Tyron L. Uy, 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</si>
</sst>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m/d/yy;@"/>
    <numFmt numFmtId="166" formatCode="mm/dd/yyyy;@"/>
  </numFmts>
  <fonts count="4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2.1"/>
      <color theme="10"/>
      <name val="Calibri"/>
      <family val="2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b/>
      <i/>
      <sz val="10.5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13"/>
      <color indexed="12"/>
      <name val="Goudy Old Style"/>
      <family val="1"/>
    </font>
    <font>
      <b/>
      <sz val="13"/>
      <name val="Goudy Old Style"/>
      <family val="1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</font>
    <font>
      <b/>
      <sz val="14"/>
      <name val="Goudy Old Style"/>
      <family val="1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  <font>
      <b/>
      <sz val="8"/>
      <name val="Calibri"/>
      <family val="2"/>
      <scheme val="minor"/>
    </font>
    <font>
      <b/>
      <sz val="10"/>
      <name val="Goudy Old Style"/>
      <family val="1"/>
    </font>
    <font>
      <b/>
      <sz val="10"/>
      <color indexed="12"/>
      <name val="Goudy Old Style"/>
      <family val="1"/>
    </font>
    <font>
      <b/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76">
    <xf numFmtId="0" fontId="0" fillId="0" borderId="0" xfId="0"/>
    <xf numFmtId="0" fontId="4" fillId="0" borderId="0" xfId="0" applyFont="1"/>
    <xf numFmtId="0" fontId="7" fillId="0" borderId="8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Fill="1" applyBorder="1"/>
    <xf numFmtId="43" fontId="8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43" fontId="9" fillId="0" borderId="8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4" fillId="0" borderId="0" xfId="0" applyFont="1" applyAlignment="1">
      <alignment vertical="center"/>
    </xf>
    <xf numFmtId="0" fontId="10" fillId="0" borderId="6" xfId="0" applyFont="1" applyFill="1" applyBorder="1"/>
    <xf numFmtId="0" fontId="4" fillId="0" borderId="0" xfId="0" applyFont="1" applyBorder="1"/>
    <xf numFmtId="0" fontId="13" fillId="0" borderId="15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left"/>
    </xf>
    <xf numFmtId="43" fontId="12" fillId="0" borderId="15" xfId="1" applyFont="1" applyFill="1" applyBorder="1"/>
    <xf numFmtId="43" fontId="13" fillId="0" borderId="15" xfId="0" applyNumberFormat="1" applyFont="1" applyFill="1" applyBorder="1" applyAlignment="1">
      <alignment horizontal="center"/>
    </xf>
    <xf numFmtId="10" fontId="12" fillId="0" borderId="14" xfId="16" applyNumberFormat="1" applyFont="1" applyFill="1" applyBorder="1" applyAlignment="1">
      <alignment horizontal="center"/>
    </xf>
    <xf numFmtId="43" fontId="12" fillId="0" borderId="15" xfId="0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left"/>
    </xf>
    <xf numFmtId="43" fontId="12" fillId="0" borderId="0" xfId="1" applyFont="1" applyFill="1" applyBorder="1"/>
    <xf numFmtId="10" fontId="12" fillId="0" borderId="8" xfId="16" applyNumberFormat="1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43" fontId="12" fillId="0" borderId="14" xfId="8" applyNumberFormat="1" applyFont="1" applyFill="1" applyBorder="1" applyAlignment="1" applyProtection="1">
      <alignment horizontal="left"/>
    </xf>
    <xf numFmtId="43" fontId="12" fillId="0" borderId="8" xfId="1" applyFont="1" applyFill="1" applyBorder="1"/>
    <xf numFmtId="14" fontId="12" fillId="0" borderId="0" xfId="0" applyNumberFormat="1" applyFont="1" applyFill="1" applyBorder="1" applyAlignment="1"/>
    <xf numFmtId="14" fontId="12" fillId="0" borderId="8" xfId="0" applyNumberFormat="1" applyFont="1" applyFill="1" applyBorder="1" applyAlignment="1"/>
    <xf numFmtId="43" fontId="15" fillId="0" borderId="8" xfId="1" applyFont="1" applyFill="1" applyBorder="1" applyAlignment="1">
      <alignment horizontal="center"/>
    </xf>
    <xf numFmtId="43" fontId="12" fillId="0" borderId="14" xfId="8" applyNumberFormat="1" applyFont="1" applyFill="1" applyBorder="1" applyAlignment="1" applyProtection="1"/>
    <xf numFmtId="43" fontId="12" fillId="0" borderId="14" xfId="1" applyFont="1" applyFill="1" applyBorder="1"/>
    <xf numFmtId="43" fontId="12" fillId="0" borderId="14" xfId="1" applyFont="1" applyFill="1" applyBorder="1" applyAlignment="1">
      <alignment horizontal="center"/>
    </xf>
    <xf numFmtId="43" fontId="12" fillId="0" borderId="8" xfId="8" applyNumberFormat="1" applyFont="1" applyFill="1" applyBorder="1" applyAlignment="1" applyProtection="1"/>
    <xf numFmtId="43" fontId="12" fillId="0" borderId="13" xfId="1" applyFont="1" applyFill="1" applyBorder="1"/>
    <xf numFmtId="43" fontId="12" fillId="0" borderId="0" xfId="1" applyFont="1" applyFill="1" applyBorder="1" applyAlignment="1">
      <alignment horizontal="left"/>
    </xf>
    <xf numFmtId="43" fontId="12" fillId="0" borderId="15" xfId="1" applyFont="1" applyFill="1" applyBorder="1" applyAlignment="1">
      <alignment horizontal="left"/>
    </xf>
    <xf numFmtId="43" fontId="12" fillId="0" borderId="13" xfId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4" fillId="0" borderId="7" xfId="0" applyFont="1" applyFill="1" applyBorder="1" applyAlignment="1">
      <alignment horizontal="left"/>
    </xf>
    <xf numFmtId="0" fontId="14" fillId="0" borderId="14" xfId="0" applyFont="1" applyFill="1" applyBorder="1" applyAlignment="1"/>
    <xf numFmtId="0" fontId="13" fillId="0" borderId="15" xfId="0" applyFont="1" applyFill="1" applyBorder="1" applyAlignment="1">
      <alignment horizontal="left"/>
    </xf>
    <xf numFmtId="0" fontId="14" fillId="0" borderId="13" xfId="0" applyFont="1" applyFill="1" applyBorder="1" applyAlignment="1">
      <alignment horizontal="left"/>
    </xf>
    <xf numFmtId="0" fontId="12" fillId="0" borderId="12" xfId="0" applyFont="1" applyFill="1" applyBorder="1"/>
    <xf numFmtId="0" fontId="12" fillId="0" borderId="15" xfId="0" applyFont="1" applyFill="1" applyBorder="1"/>
    <xf numFmtId="0" fontId="12" fillId="0" borderId="6" xfId="0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43" fontId="12" fillId="0" borderId="5" xfId="8" applyNumberFormat="1" applyFont="1" applyFill="1" applyBorder="1" applyAlignment="1" applyProtection="1"/>
    <xf numFmtId="0" fontId="12" fillId="0" borderId="14" xfId="0" applyFont="1" applyFill="1" applyBorder="1"/>
    <xf numFmtId="43" fontId="16" fillId="0" borderId="14" xfId="7" applyNumberFormat="1" applyFont="1" applyFill="1" applyBorder="1"/>
    <xf numFmtId="0" fontId="12" fillId="0" borderId="0" xfId="0" applyFont="1" applyBorder="1"/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2" fillId="0" borderId="5" xfId="0" applyFont="1" applyFill="1" applyBorder="1"/>
    <xf numFmtId="0" fontId="13" fillId="0" borderId="6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2" fillId="0" borderId="7" xfId="0" applyFont="1" applyFill="1" applyBorder="1"/>
    <xf numFmtId="0" fontId="12" fillId="0" borderId="8" xfId="0" applyFont="1" applyFill="1" applyBorder="1"/>
    <xf numFmtId="0" fontId="12" fillId="0" borderId="15" xfId="0" quotePrefix="1" applyFont="1" applyFill="1" applyBorder="1" applyAlignment="1">
      <alignment horizontal="center"/>
    </xf>
    <xf numFmtId="0" fontId="12" fillId="0" borderId="13" xfId="0" applyFont="1" applyFill="1" applyBorder="1"/>
    <xf numFmtId="0" fontId="13" fillId="0" borderId="0" xfId="0" applyFont="1" applyFill="1" applyBorder="1"/>
    <xf numFmtId="0" fontId="16" fillId="0" borderId="7" xfId="0" quotePrefix="1" applyFont="1" applyFill="1" applyBorder="1" applyAlignment="1"/>
    <xf numFmtId="164" fontId="17" fillId="0" borderId="14" xfId="7" applyNumberFormat="1" applyFont="1" applyFill="1" applyBorder="1"/>
    <xf numFmtId="0" fontId="13" fillId="0" borderId="15" xfId="0" applyFont="1" applyFill="1" applyBorder="1"/>
    <xf numFmtId="0" fontId="16" fillId="0" borderId="13" xfId="0" quotePrefix="1" applyFont="1" applyFill="1" applyBorder="1" applyAlignment="1">
      <alignment horizontal="center"/>
    </xf>
    <xf numFmtId="0" fontId="16" fillId="0" borderId="14" xfId="0" applyFont="1" applyFill="1" applyBorder="1" applyAlignment="1">
      <alignment horizontal="left"/>
    </xf>
    <xf numFmtId="43" fontId="16" fillId="0" borderId="14" xfId="7" applyFont="1" applyFill="1" applyBorder="1"/>
    <xf numFmtId="0" fontId="13" fillId="0" borderId="12" xfId="0" applyFont="1" applyFill="1" applyBorder="1"/>
    <xf numFmtId="0" fontId="12" fillId="0" borderId="13" xfId="0" quotePrefix="1" applyFont="1" applyFill="1" applyBorder="1" applyAlignment="1">
      <alignment horizontal="right"/>
    </xf>
    <xf numFmtId="43" fontId="12" fillId="0" borderId="14" xfId="7" applyFont="1" applyFill="1" applyBorder="1"/>
    <xf numFmtId="0" fontId="14" fillId="0" borderId="14" xfId="0" applyFont="1" applyFill="1" applyBorder="1" applyAlignment="1">
      <alignment horizontal="center"/>
    </xf>
    <xf numFmtId="0" fontId="16" fillId="0" borderId="15" xfId="0" applyFont="1" applyFill="1" applyBorder="1"/>
    <xf numFmtId="0" fontId="16" fillId="0" borderId="10" xfId="0" applyFont="1" applyFill="1" applyBorder="1"/>
    <xf numFmtId="0" fontId="16" fillId="0" borderId="1" xfId="0" applyFont="1" applyFill="1" applyBorder="1"/>
    <xf numFmtId="43" fontId="13" fillId="0" borderId="0" xfId="1" applyFont="1" applyFill="1" applyBorder="1" applyAlignment="1">
      <alignment horizontal="left"/>
    </xf>
    <xf numFmtId="43" fontId="13" fillId="0" borderId="9" xfId="1" applyFont="1" applyFill="1" applyBorder="1"/>
    <xf numFmtId="0" fontId="12" fillId="0" borderId="9" xfId="0" applyFont="1" applyFill="1" applyBorder="1"/>
    <xf numFmtId="43" fontId="12" fillId="0" borderId="0" xfId="0" applyNumberFormat="1" applyFont="1" applyFill="1" applyBorder="1"/>
    <xf numFmtId="0" fontId="12" fillId="0" borderId="10" xfId="0" applyFont="1" applyFill="1" applyBorder="1"/>
    <xf numFmtId="0" fontId="12" fillId="0" borderId="11" xfId="0" applyFont="1" applyFill="1" applyBorder="1" applyAlignment="1">
      <alignment horizontal="left"/>
    </xf>
    <xf numFmtId="43" fontId="4" fillId="0" borderId="0" xfId="0" applyNumberFormat="1" applyFont="1" applyFill="1" applyBorder="1" applyAlignment="1">
      <alignment horizontal="center"/>
    </xf>
    <xf numFmtId="0" fontId="18" fillId="0" borderId="5" xfId="0" applyFont="1" applyFill="1" applyBorder="1"/>
    <xf numFmtId="0" fontId="19" fillId="0" borderId="8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2" fillId="0" borderId="2" xfId="0" applyFont="1" applyFill="1" applyBorder="1" applyAlignment="1"/>
    <xf numFmtId="0" fontId="12" fillId="0" borderId="3" xfId="0" applyFont="1" applyFill="1" applyBorder="1" applyAlignment="1"/>
    <xf numFmtId="0" fontId="12" fillId="0" borderId="4" xfId="0" applyFont="1" applyFill="1" applyBorder="1" applyAlignment="1"/>
    <xf numFmtId="43" fontId="12" fillId="0" borderId="2" xfId="8" applyNumberFormat="1" applyFont="1" applyFill="1" applyBorder="1" applyAlignment="1" applyProtection="1"/>
    <xf numFmtId="43" fontId="12" fillId="0" borderId="5" xfId="1" applyFont="1" applyFill="1" applyBorder="1"/>
    <xf numFmtId="43" fontId="12" fillId="0" borderId="2" xfId="1" applyFont="1" applyFill="1" applyBorder="1"/>
    <xf numFmtId="43" fontId="12" fillId="0" borderId="5" xfId="1" quotePrefix="1" applyFont="1" applyFill="1" applyBorder="1" applyAlignment="1">
      <alignment horizontal="center"/>
    </xf>
    <xf numFmtId="43" fontId="12" fillId="0" borderId="2" xfId="1" quotePrefix="1" applyFont="1" applyFill="1" applyBorder="1" applyAlignment="1">
      <alignment horizontal="center"/>
    </xf>
    <xf numFmtId="10" fontId="12" fillId="0" borderId="5" xfId="16" applyNumberFormat="1" applyFont="1" applyFill="1" applyBorder="1" applyAlignment="1">
      <alignment horizontal="center"/>
    </xf>
    <xf numFmtId="10" fontId="12" fillId="0" borderId="2" xfId="16" applyNumberFormat="1" applyFont="1" applyFill="1" applyBorder="1" applyAlignment="1">
      <alignment horizontal="center"/>
    </xf>
    <xf numFmtId="0" fontId="12" fillId="0" borderId="1" xfId="0" applyFont="1" applyFill="1" applyBorder="1"/>
    <xf numFmtId="0" fontId="13" fillId="0" borderId="13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165" fontId="18" fillId="0" borderId="14" xfId="1" applyNumberFormat="1" applyFont="1" applyFill="1" applyBorder="1" applyAlignment="1">
      <alignment horizontal="center"/>
    </xf>
    <xf numFmtId="165" fontId="18" fillId="0" borderId="14" xfId="1" quotePrefix="1" applyNumberFormat="1" applyFont="1" applyFill="1" applyBorder="1" applyAlignment="1">
      <alignment horizontal="center"/>
    </xf>
    <xf numFmtId="165" fontId="18" fillId="0" borderId="14" xfId="0" applyNumberFormat="1" applyFont="1" applyFill="1" applyBorder="1" applyAlignment="1">
      <alignment horizontal="center"/>
    </xf>
    <xf numFmtId="43" fontId="20" fillId="0" borderId="14" xfId="1" applyFont="1" applyFill="1" applyBorder="1" applyAlignment="1">
      <alignment horizontal="center"/>
    </xf>
    <xf numFmtId="0" fontId="21" fillId="0" borderId="14" xfId="0" applyFont="1" applyFill="1" applyBorder="1" applyAlignment="1"/>
    <xf numFmtId="165" fontId="18" fillId="0" borderId="14" xfId="0" applyNumberFormat="1" applyFont="1" applyFill="1" applyBorder="1"/>
    <xf numFmtId="0" fontId="18" fillId="0" borderId="14" xfId="0" applyFont="1" applyFill="1" applyBorder="1"/>
    <xf numFmtId="0" fontId="19" fillId="0" borderId="5" xfId="0" applyFont="1" applyFill="1" applyBorder="1" applyAlignment="1">
      <alignment horizontal="center"/>
    </xf>
    <xf numFmtId="165" fontId="23" fillId="0" borderId="14" xfId="7" applyNumberFormat="1" applyFont="1" applyFill="1" applyBorder="1"/>
    <xf numFmtId="43" fontId="18" fillId="0" borderId="14" xfId="0" applyNumberFormat="1" applyFont="1" applyFill="1" applyBorder="1"/>
    <xf numFmtId="0" fontId="18" fillId="0" borderId="10" xfId="0" applyFont="1" applyFill="1" applyBorder="1"/>
    <xf numFmtId="0" fontId="18" fillId="0" borderId="9" xfId="0" applyFont="1" applyFill="1" applyBorder="1"/>
    <xf numFmtId="0" fontId="18" fillId="0" borderId="0" xfId="0" applyFont="1" applyFill="1" applyBorder="1"/>
    <xf numFmtId="43" fontId="11" fillId="0" borderId="0" xfId="0" applyNumberFormat="1" applyFont="1" applyFill="1" applyBorder="1"/>
    <xf numFmtId="43" fontId="11" fillId="0" borderId="0" xfId="1" applyFont="1" applyFill="1" applyBorder="1"/>
    <xf numFmtId="0" fontId="26" fillId="0" borderId="0" xfId="0" applyFont="1" applyFill="1" applyBorder="1"/>
    <xf numFmtId="0" fontId="19" fillId="0" borderId="0" xfId="0" applyFont="1" applyFill="1" applyBorder="1" applyAlignment="1">
      <alignment horizontal="center"/>
    </xf>
    <xf numFmtId="43" fontId="12" fillId="0" borderId="15" xfId="0" applyNumberFormat="1" applyFont="1" applyFill="1" applyBorder="1"/>
    <xf numFmtId="43" fontId="13" fillId="0" borderId="14" xfId="1" applyFont="1" applyFill="1" applyBorder="1"/>
    <xf numFmtId="0" fontId="12" fillId="0" borderId="0" xfId="0" quotePrefix="1" applyFont="1" applyFill="1" applyBorder="1" applyAlignment="1">
      <alignment horizontal="center"/>
    </xf>
    <xf numFmtId="43" fontId="12" fillId="0" borderId="14" xfId="1" applyFont="1" applyFill="1" applyBorder="1" applyAlignment="1">
      <alignment horizontal="left"/>
    </xf>
    <xf numFmtId="10" fontId="13" fillId="0" borderId="14" xfId="16" applyNumberFormat="1" applyFont="1" applyFill="1" applyBorder="1" applyAlignment="1">
      <alignment horizontal="center"/>
    </xf>
    <xf numFmtId="0" fontId="13" fillId="0" borderId="0" xfId="0" applyFont="1"/>
    <xf numFmtId="0" fontId="29" fillId="0" borderId="9" xfId="0" applyFont="1" applyBorder="1" applyAlignment="1">
      <alignment horizontal="left" vertical="center"/>
    </xf>
    <xf numFmtId="0" fontId="4" fillId="0" borderId="14" xfId="0" applyNumberFormat="1" applyFont="1" applyFill="1" applyBorder="1" applyAlignment="1">
      <alignment horizontal="left" vertical="center"/>
    </xf>
    <xf numFmtId="166" fontId="18" fillId="0" borderId="14" xfId="0" applyNumberFormat="1" applyFont="1" applyFill="1" applyBorder="1" applyAlignment="1">
      <alignment vertical="center"/>
    </xf>
    <xf numFmtId="0" fontId="15" fillId="0" borderId="14" xfId="0" applyFont="1" applyFill="1" applyBorder="1" applyAlignment="1">
      <alignment horizontal="left"/>
    </xf>
    <xf numFmtId="0" fontId="18" fillId="0" borderId="14" xfId="0" applyFont="1" applyFill="1" applyBorder="1" applyAlignment="1">
      <alignment horizontal="left"/>
    </xf>
    <xf numFmtId="43" fontId="20" fillId="0" borderId="14" xfId="1" applyFont="1" applyFill="1" applyBorder="1" applyAlignment="1"/>
    <xf numFmtId="43" fontId="12" fillId="0" borderId="15" xfId="1" applyFont="1" applyFill="1" applyBorder="1" applyAlignment="1">
      <alignment horizontal="center"/>
    </xf>
    <xf numFmtId="43" fontId="12" fillId="0" borderId="0" xfId="1" applyFont="1" applyFill="1" applyBorder="1" applyAlignment="1">
      <alignment horizontal="center"/>
    </xf>
    <xf numFmtId="43" fontId="12" fillId="0" borderId="5" xfId="1" applyFont="1" applyFill="1" applyBorder="1" applyAlignment="1">
      <alignment horizontal="center"/>
    </xf>
    <xf numFmtId="43" fontId="12" fillId="0" borderId="2" xfId="1" applyFont="1" applyFill="1" applyBorder="1" applyAlignment="1">
      <alignment horizontal="center"/>
    </xf>
    <xf numFmtId="43" fontId="18" fillId="0" borderId="14" xfId="1" applyFont="1" applyFill="1" applyBorder="1" applyAlignment="1">
      <alignment horizontal="center"/>
    </xf>
    <xf numFmtId="43" fontId="18" fillId="0" borderId="14" xfId="2" applyNumberFormat="1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22" fillId="0" borderId="14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Fill="1" applyBorder="1"/>
    <xf numFmtId="43" fontId="16" fillId="0" borderId="9" xfId="7" applyNumberFormat="1" applyFont="1" applyFill="1" applyBorder="1"/>
    <xf numFmtId="43" fontId="16" fillId="0" borderId="9" xfId="7" applyNumberFormat="1" applyFont="1" applyFill="1" applyBorder="1" applyAlignment="1">
      <alignment horizontal="center"/>
    </xf>
    <xf numFmtId="0" fontId="18" fillId="0" borderId="9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8" fillId="0" borderId="7" xfId="0" applyFont="1" applyFill="1" applyBorder="1"/>
    <xf numFmtId="0" fontId="11" fillId="0" borderId="7" xfId="0" applyFont="1" applyFill="1" applyBorder="1"/>
    <xf numFmtId="0" fontId="12" fillId="0" borderId="7" xfId="0" applyFont="1" applyFill="1" applyBorder="1" applyAlignment="1">
      <alignment horizontal="center"/>
    </xf>
    <xf numFmtId="0" fontId="11" fillId="0" borderId="6" xfId="0" applyFont="1" applyFill="1" applyBorder="1"/>
    <xf numFmtId="0" fontId="4" fillId="0" borderId="6" xfId="0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1" xfId="0" applyFont="1" applyBorder="1"/>
    <xf numFmtId="0" fontId="26" fillId="0" borderId="0" xfId="0" applyFont="1" applyFill="1" applyBorder="1" applyAlignment="1"/>
    <xf numFmtId="0" fontId="26" fillId="0" borderId="7" xfId="0" applyFont="1" applyFill="1" applyBorder="1" applyAlignment="1"/>
    <xf numFmtId="0" fontId="27" fillId="0" borderId="0" xfId="0" applyFont="1" applyFill="1" applyBorder="1" applyAlignment="1"/>
    <xf numFmtId="0" fontId="27" fillId="0" borderId="7" xfId="0" applyFont="1" applyFill="1" applyBorder="1" applyAlignment="1"/>
    <xf numFmtId="43" fontId="12" fillId="0" borderId="6" xfId="8" applyNumberFormat="1" applyFont="1" applyFill="1" applyBorder="1" applyAlignment="1" applyProtection="1"/>
    <xf numFmtId="43" fontId="12" fillId="0" borderId="0" xfId="8" applyNumberFormat="1" applyFont="1" applyFill="1" applyBorder="1" applyAlignment="1" applyProtection="1"/>
    <xf numFmtId="43" fontId="12" fillId="0" borderId="7" xfId="8" applyNumberFormat="1" applyFont="1" applyFill="1" applyBorder="1" applyAlignment="1" applyProtection="1"/>
    <xf numFmtId="0" fontId="31" fillId="0" borderId="6" xfId="0" applyFont="1" applyFill="1" applyBorder="1"/>
    <xf numFmtId="0" fontId="31" fillId="0" borderId="0" xfId="0" applyFont="1" applyFill="1" applyBorder="1"/>
    <xf numFmtId="0" fontId="31" fillId="0" borderId="0" xfId="0" applyFont="1" applyFill="1" applyBorder="1" applyAlignment="1"/>
    <xf numFmtId="0" fontId="31" fillId="0" borderId="7" xfId="0" applyFont="1" applyFill="1" applyBorder="1" applyAlignment="1"/>
    <xf numFmtId="0" fontId="31" fillId="0" borderId="0" xfId="0" applyFont="1" applyBorder="1"/>
    <xf numFmtId="43" fontId="31" fillId="0" borderId="0" xfId="1" applyFont="1" applyFill="1" applyBorder="1"/>
    <xf numFmtId="0" fontId="31" fillId="0" borderId="0" xfId="0" applyFont="1" applyFill="1" applyBorder="1" applyAlignment="1">
      <alignment horizontal="center"/>
    </xf>
    <xf numFmtId="0" fontId="31" fillId="0" borderId="7" xfId="0" applyFont="1" applyFill="1" applyBorder="1"/>
    <xf numFmtId="0" fontId="26" fillId="0" borderId="6" xfId="0" applyFont="1" applyFill="1" applyBorder="1"/>
    <xf numFmtId="0" fontId="26" fillId="0" borderId="0" xfId="0" applyFont="1" applyFill="1" applyBorder="1" applyAlignment="1">
      <alignment horizontal="left"/>
    </xf>
    <xf numFmtId="0" fontId="26" fillId="0" borderId="7" xfId="0" applyFont="1" applyFill="1" applyBorder="1"/>
    <xf numFmtId="0" fontId="26" fillId="0" borderId="0" xfId="0" applyFont="1" applyBorder="1"/>
    <xf numFmtId="0" fontId="12" fillId="0" borderId="12" xfId="0" applyFont="1" applyFill="1" applyBorder="1" applyAlignment="1">
      <alignment horizontal="left"/>
    </xf>
    <xf numFmtId="0" fontId="12" fillId="0" borderId="15" xfId="0" applyFont="1" applyFill="1" applyBorder="1" applyAlignment="1">
      <alignment horizontal="left"/>
    </xf>
    <xf numFmtId="0" fontId="29" fillId="0" borderId="14" xfId="0" applyFont="1" applyBorder="1" applyAlignment="1">
      <alignment horizontal="left" vertical="center"/>
    </xf>
    <xf numFmtId="0" fontId="12" fillId="0" borderId="12" xfId="0" applyFont="1" applyFill="1" applyBorder="1" applyAlignment="1">
      <alignment horizontal="left"/>
    </xf>
    <xf numFmtId="43" fontId="8" fillId="0" borderId="8" xfId="0" applyNumberFormat="1" applyFont="1" applyFill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43" fontId="12" fillId="0" borderId="14" xfId="0" applyNumberFormat="1" applyFont="1" applyFill="1" applyBorder="1" applyAlignment="1">
      <alignment horizontal="center"/>
    </xf>
    <xf numFmtId="43" fontId="12" fillId="0" borderId="8" xfId="0" applyNumberFormat="1" applyFont="1" applyFill="1" applyBorder="1" applyAlignment="1">
      <alignment horizontal="center"/>
    </xf>
    <xf numFmtId="43" fontId="12" fillId="0" borderId="0" xfId="0" applyNumberFormat="1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18" fillId="0" borderId="14" xfId="0" applyFont="1" applyFill="1" applyBorder="1" applyAlignment="1"/>
    <xf numFmtId="43" fontId="20" fillId="0" borderId="14" xfId="7" applyFont="1" applyFill="1" applyBorder="1"/>
    <xf numFmtId="0" fontId="20" fillId="0" borderId="14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43" fontId="12" fillId="0" borderId="14" xfId="8" applyNumberFormat="1" applyFont="1" applyFill="1" applyBorder="1" applyAlignment="1" applyProtection="1">
      <alignment vertical="center"/>
    </xf>
    <xf numFmtId="43" fontId="12" fillId="0" borderId="14" xfId="1" applyFont="1" applyFill="1" applyBorder="1" applyAlignment="1">
      <alignment vertical="center"/>
    </xf>
    <xf numFmtId="165" fontId="18" fillId="0" borderId="14" xfId="0" applyNumberFormat="1" applyFont="1" applyFill="1" applyBorder="1" applyAlignment="1">
      <alignment horizontal="center" vertical="center"/>
    </xf>
    <xf numFmtId="10" fontId="12" fillId="0" borderId="14" xfId="16" applyNumberFormat="1" applyFont="1" applyFill="1" applyBorder="1" applyAlignment="1">
      <alignment horizontal="center" vertical="center"/>
    </xf>
    <xf numFmtId="43" fontId="20" fillId="0" borderId="14" xfId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8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left"/>
    </xf>
    <xf numFmtId="0" fontId="12" fillId="0" borderId="15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/>
    </xf>
    <xf numFmtId="0" fontId="6" fillId="0" borderId="6" xfId="0" applyFont="1" applyFill="1" applyBorder="1"/>
    <xf numFmtId="0" fontId="16" fillId="0" borderId="13" xfId="0" applyFont="1" applyFill="1" applyBorder="1" applyAlignment="1"/>
    <xf numFmtId="0" fontId="6" fillId="0" borderId="12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17" fillId="0" borderId="12" xfId="0" applyFont="1" applyFill="1" applyBorder="1"/>
    <xf numFmtId="0" fontId="19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/>
    </xf>
    <xf numFmtId="0" fontId="28" fillId="0" borderId="15" xfId="0" applyFont="1" applyFill="1" applyBorder="1" applyAlignment="1">
      <alignment vertical="center"/>
    </xf>
    <xf numFmtId="0" fontId="12" fillId="0" borderId="15" xfId="0" applyFont="1" applyFill="1" applyBorder="1" applyAlignment="1">
      <alignment horizontal="center"/>
    </xf>
    <xf numFmtId="0" fontId="12" fillId="0" borderId="12" xfId="0" applyFont="1" applyFill="1" applyBorder="1" applyAlignment="1"/>
    <xf numFmtId="0" fontId="4" fillId="0" borderId="15" xfId="0" applyFont="1" applyFill="1" applyBorder="1" applyAlignment="1"/>
    <xf numFmtId="0" fontId="7" fillId="0" borderId="15" xfId="0" applyFont="1" applyFill="1" applyBorder="1" applyAlignment="1"/>
    <xf numFmtId="0" fontId="4" fillId="0" borderId="14" xfId="0" applyFont="1" applyFill="1" applyBorder="1" applyAlignment="1"/>
    <xf numFmtId="43" fontId="28" fillId="0" borderId="15" xfId="1" applyFont="1" applyFill="1" applyBorder="1" applyAlignment="1"/>
    <xf numFmtId="43" fontId="12" fillId="0" borderId="14" xfId="0" applyNumberFormat="1" applyFont="1" applyFill="1" applyBorder="1" applyAlignment="1"/>
    <xf numFmtId="43" fontId="12" fillId="0" borderId="15" xfId="0" applyNumberFormat="1" applyFont="1" applyFill="1" applyBorder="1" applyAlignment="1"/>
    <xf numFmtId="10" fontId="12" fillId="0" borderId="14" xfId="16" applyNumberFormat="1" applyFont="1" applyFill="1" applyBorder="1" applyAlignment="1"/>
    <xf numFmtId="0" fontId="4" fillId="0" borderId="14" xfId="0" applyNumberFormat="1" applyFont="1" applyFill="1" applyBorder="1" applyAlignment="1">
      <alignment vertical="center"/>
    </xf>
    <xf numFmtId="0" fontId="12" fillId="0" borderId="0" xfId="0" applyFont="1" applyAlignment="1"/>
    <xf numFmtId="0" fontId="33" fillId="0" borderId="9" xfId="0" applyFont="1" applyBorder="1" applyAlignment="1">
      <alignment horizontal="left" vertical="center" wrapText="1"/>
    </xf>
    <xf numFmtId="0" fontId="19" fillId="0" borderId="5" xfId="0" applyFont="1" applyFill="1" applyBorder="1"/>
    <xf numFmtId="0" fontId="34" fillId="0" borderId="8" xfId="0" applyFont="1" applyFill="1" applyBorder="1" applyAlignment="1">
      <alignment horizontal="center"/>
    </xf>
    <xf numFmtId="0" fontId="34" fillId="0" borderId="9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3" fillId="0" borderId="9" xfId="0" applyFont="1" applyBorder="1" applyAlignment="1">
      <alignment horizontal="left" vertical="center"/>
    </xf>
    <xf numFmtId="0" fontId="7" fillId="0" borderId="5" xfId="0" applyFont="1" applyFill="1" applyBorder="1"/>
    <xf numFmtId="0" fontId="7" fillId="0" borderId="6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7" fillId="0" borderId="6" xfId="0" applyFont="1" applyFill="1" applyBorder="1"/>
    <xf numFmtId="0" fontId="4" fillId="0" borderId="0" xfId="0" applyFont="1" applyFill="1" applyBorder="1"/>
    <xf numFmtId="43" fontId="4" fillId="0" borderId="0" xfId="0" applyNumberFormat="1" applyFont="1" applyFill="1" applyBorder="1"/>
    <xf numFmtId="43" fontId="4" fillId="0" borderId="8" xfId="0" applyNumberFormat="1" applyFont="1" applyFill="1" applyBorder="1" applyAlignment="1">
      <alignment horizontal="center"/>
    </xf>
    <xf numFmtId="43" fontId="7" fillId="0" borderId="8" xfId="0" applyNumberFormat="1" applyFont="1" applyFill="1" applyBorder="1" applyAlignment="1">
      <alignment horizontal="center"/>
    </xf>
    <xf numFmtId="43" fontId="7" fillId="0" borderId="0" xfId="0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left"/>
    </xf>
    <xf numFmtId="43" fontId="4" fillId="0" borderId="15" xfId="1" applyFont="1" applyFill="1" applyBorder="1"/>
    <xf numFmtId="43" fontId="4" fillId="0" borderId="14" xfId="0" applyNumberFormat="1" applyFont="1" applyFill="1" applyBorder="1" applyAlignment="1">
      <alignment horizontal="center"/>
    </xf>
    <xf numFmtId="43" fontId="4" fillId="0" borderId="15" xfId="0" applyNumberFormat="1" applyFont="1" applyFill="1" applyBorder="1" applyAlignment="1">
      <alignment horizontal="center"/>
    </xf>
    <xf numFmtId="10" fontId="4" fillId="0" borderId="14" xfId="16" applyNumberFormat="1" applyFont="1" applyFill="1" applyBorder="1" applyAlignment="1">
      <alignment horizontal="center"/>
    </xf>
    <xf numFmtId="43" fontId="4" fillId="0" borderId="0" xfId="1" applyFont="1" applyFill="1" applyBorder="1"/>
    <xf numFmtId="0" fontId="4" fillId="0" borderId="15" xfId="0" applyFont="1" applyFill="1" applyBorder="1" applyAlignment="1">
      <alignment horizontal="center"/>
    </xf>
    <xf numFmtId="10" fontId="4" fillId="0" borderId="8" xfId="16" applyNumberFormat="1" applyFont="1" applyFill="1" applyBorder="1" applyAlignment="1">
      <alignment horizontal="center"/>
    </xf>
    <xf numFmtId="0" fontId="7" fillId="0" borderId="0" xfId="0" applyFont="1"/>
    <xf numFmtId="0" fontId="4" fillId="0" borderId="12" xfId="0" applyFont="1" applyFill="1" applyBorder="1" applyAlignment="1"/>
    <xf numFmtId="43" fontId="4" fillId="0" borderId="14" xfId="0" applyNumberFormat="1" applyFont="1" applyFill="1" applyBorder="1" applyAlignment="1"/>
    <xf numFmtId="43" fontId="4" fillId="0" borderId="15" xfId="0" applyNumberFormat="1" applyFont="1" applyFill="1" applyBorder="1" applyAlignment="1"/>
    <xf numFmtId="0" fontId="4" fillId="0" borderId="0" xfId="0" applyFont="1" applyAlignment="1"/>
    <xf numFmtId="0" fontId="38" fillId="0" borderId="7" xfId="0" applyFont="1" applyFill="1" applyBorder="1" applyAlignment="1">
      <alignment horizontal="center"/>
    </xf>
    <xf numFmtId="43" fontId="4" fillId="0" borderId="14" xfId="8" applyNumberFormat="1" applyFont="1" applyFill="1" applyBorder="1" applyAlignment="1" applyProtection="1">
      <alignment horizontal="left"/>
    </xf>
    <xf numFmtId="43" fontId="4" fillId="0" borderId="8" xfId="1" applyFont="1" applyFill="1" applyBorder="1"/>
    <xf numFmtId="14" fontId="4" fillId="0" borderId="0" xfId="0" applyNumberFormat="1" applyFont="1" applyFill="1" applyBorder="1" applyAlignment="1"/>
    <xf numFmtId="14" fontId="4" fillId="0" borderId="8" xfId="0" applyNumberFormat="1" applyFont="1" applyFill="1" applyBorder="1" applyAlignment="1"/>
    <xf numFmtId="43" fontId="39" fillId="0" borderId="8" xfId="1" applyFont="1" applyFill="1" applyBorder="1" applyAlignment="1">
      <alignment horizontal="center"/>
    </xf>
    <xf numFmtId="43" fontId="4" fillId="0" borderId="14" xfId="1" applyFont="1" applyFill="1" applyBorder="1"/>
    <xf numFmtId="43" fontId="4" fillId="0" borderId="15" xfId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43" fontId="4" fillId="0" borderId="14" xfId="8" applyNumberFormat="1" applyFont="1" applyFill="1" applyBorder="1" applyAlignment="1" applyProtection="1"/>
    <xf numFmtId="43" fontId="4" fillId="0" borderId="13" xfId="1" applyFont="1" applyFill="1" applyBorder="1"/>
    <xf numFmtId="43" fontId="4" fillId="0" borderId="5" xfId="1" applyFont="1" applyFill="1" applyBorder="1"/>
    <xf numFmtId="43" fontId="4" fillId="0" borderId="5" xfId="1" quotePrefix="1" applyFont="1" applyFill="1" applyBorder="1" applyAlignment="1">
      <alignment horizontal="center"/>
    </xf>
    <xf numFmtId="10" fontId="4" fillId="0" borderId="5" xfId="16" applyNumberFormat="1" applyFont="1" applyFill="1" applyBorder="1" applyAlignment="1">
      <alignment horizontal="center"/>
    </xf>
    <xf numFmtId="43" fontId="4" fillId="0" borderId="5" xfId="1" applyFont="1" applyFill="1" applyBorder="1" applyAlignment="1">
      <alignment horizontal="center"/>
    </xf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43" fontId="4" fillId="0" borderId="2" xfId="8" applyNumberFormat="1" applyFont="1" applyFill="1" applyBorder="1" applyAlignment="1" applyProtection="1"/>
    <xf numFmtId="43" fontId="4" fillId="0" borderId="2" xfId="1" applyFont="1" applyFill="1" applyBorder="1"/>
    <xf numFmtId="43" fontId="4" fillId="0" borderId="2" xfId="1" quotePrefix="1" applyFont="1" applyFill="1" applyBorder="1" applyAlignment="1">
      <alignment horizontal="center"/>
    </xf>
    <xf numFmtId="10" fontId="4" fillId="0" borderId="2" xfId="16" applyNumberFormat="1" applyFont="1" applyFill="1" applyBorder="1" applyAlignment="1">
      <alignment horizontal="center"/>
    </xf>
    <xf numFmtId="43" fontId="4" fillId="0" borderId="2" xfId="1" applyFont="1" applyFill="1" applyBorder="1" applyAlignment="1">
      <alignment horizontal="center"/>
    </xf>
    <xf numFmtId="43" fontId="4" fillId="0" borderId="14" xfId="1" applyFont="1" applyFill="1" applyBorder="1" applyAlignment="1">
      <alignment horizontal="left"/>
    </xf>
    <xf numFmtId="165" fontId="4" fillId="0" borderId="14" xfId="1" applyNumberFormat="1" applyFont="1" applyFill="1" applyBorder="1" applyAlignment="1">
      <alignment horizontal="center"/>
    </xf>
    <xf numFmtId="43" fontId="4" fillId="0" borderId="14" xfId="1" applyFont="1" applyFill="1" applyBorder="1" applyAlignment="1">
      <alignment horizontal="center"/>
    </xf>
    <xf numFmtId="43" fontId="4" fillId="0" borderId="15" xfId="1" applyFont="1" applyFill="1" applyBorder="1" applyAlignment="1">
      <alignment horizontal="left"/>
    </xf>
    <xf numFmtId="43" fontId="4" fillId="0" borderId="13" xfId="1" applyFont="1" applyFill="1" applyBorder="1" applyAlignment="1">
      <alignment horizontal="left"/>
    </xf>
    <xf numFmtId="43" fontId="4" fillId="0" borderId="0" xfId="1" applyFont="1" applyFill="1" applyBorder="1" applyAlignment="1">
      <alignment horizontal="left"/>
    </xf>
    <xf numFmtId="165" fontId="4" fillId="0" borderId="14" xfId="1" quotePrefix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38" fillId="0" borderId="7" xfId="0" applyFont="1" applyFill="1" applyBorder="1" applyAlignment="1">
      <alignment horizontal="left"/>
    </xf>
    <xf numFmtId="165" fontId="4" fillId="0" borderId="14" xfId="0" applyNumberFormat="1" applyFont="1" applyFill="1" applyBorder="1" applyAlignment="1">
      <alignment horizontal="center"/>
    </xf>
    <xf numFmtId="43" fontId="39" fillId="0" borderId="14" xfId="1" applyFont="1" applyFill="1" applyBorder="1" applyAlignment="1">
      <alignment horizontal="center"/>
    </xf>
    <xf numFmtId="0" fontId="7" fillId="0" borderId="15" xfId="0" applyFont="1" applyFill="1" applyBorder="1" applyAlignment="1">
      <alignment horizontal="left"/>
    </xf>
    <xf numFmtId="0" fontId="38" fillId="0" borderId="13" xfId="0" applyFont="1" applyFill="1" applyBorder="1" applyAlignment="1">
      <alignment horizontal="left"/>
    </xf>
    <xf numFmtId="43" fontId="39" fillId="0" borderId="14" xfId="1" applyFont="1" applyFill="1" applyBorder="1" applyAlignment="1"/>
    <xf numFmtId="0" fontId="4" fillId="0" borderId="12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43" fontId="7" fillId="0" borderId="14" xfId="1" applyFont="1" applyFill="1" applyBorder="1"/>
    <xf numFmtId="10" fontId="7" fillId="0" borderId="14" xfId="16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4" fillId="0" borderId="5" xfId="0" applyFont="1" applyFill="1" applyBorder="1"/>
    <xf numFmtId="0" fontId="7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6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4" fillId="0" borderId="15" xfId="0" applyFont="1" applyFill="1" applyBorder="1"/>
    <xf numFmtId="43" fontId="4" fillId="0" borderId="15" xfId="0" applyNumberFormat="1" applyFont="1" applyFill="1" applyBorder="1"/>
    <xf numFmtId="0" fontId="7" fillId="0" borderId="13" xfId="0" applyFont="1" applyFill="1" applyBorder="1" applyAlignment="1">
      <alignment horizontal="center"/>
    </xf>
    <xf numFmtId="0" fontId="38" fillId="0" borderId="14" xfId="0" applyFont="1" applyFill="1" applyBorder="1" applyAlignment="1">
      <alignment horizontal="center"/>
    </xf>
    <xf numFmtId="0" fontId="38" fillId="0" borderId="14" xfId="0" applyFont="1" applyFill="1" applyBorder="1" applyAlignment="1"/>
    <xf numFmtId="0" fontId="4" fillId="0" borderId="10" xfId="0" applyFont="1" applyFill="1" applyBorder="1"/>
    <xf numFmtId="0" fontId="4" fillId="0" borderId="1" xfId="0" applyFont="1" applyFill="1" applyBorder="1"/>
    <xf numFmtId="0" fontId="4" fillId="0" borderId="15" xfId="0" quotePrefix="1" applyFont="1" applyFill="1" applyBorder="1" applyAlignment="1">
      <alignment horizontal="center"/>
    </xf>
    <xf numFmtId="0" fontId="4" fillId="0" borderId="13" xfId="0" applyFont="1" applyFill="1" applyBorder="1"/>
    <xf numFmtId="166" fontId="4" fillId="0" borderId="14" xfId="0" applyNumberFormat="1" applyFont="1" applyFill="1" applyBorder="1" applyAlignment="1">
      <alignment vertical="center"/>
    </xf>
    <xf numFmtId="43" fontId="4" fillId="0" borderId="14" xfId="2" applyNumberFormat="1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0" xfId="0" quotePrefix="1" applyFont="1" applyFill="1" applyBorder="1" applyAlignment="1">
      <alignment horizontal="center"/>
    </xf>
    <xf numFmtId="165" fontId="4" fillId="0" borderId="14" xfId="0" applyNumberFormat="1" applyFont="1" applyFill="1" applyBorder="1"/>
    <xf numFmtId="0" fontId="4" fillId="0" borderId="14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0" xfId="0" applyFont="1" applyFill="1" applyBorder="1"/>
    <xf numFmtId="0" fontId="7" fillId="0" borderId="15" xfId="0" applyFont="1" applyFill="1" applyBorder="1"/>
    <xf numFmtId="0" fontId="40" fillId="0" borderId="13" xfId="0" applyFont="1" applyFill="1" applyBorder="1" applyAlignment="1"/>
    <xf numFmtId="0" fontId="40" fillId="0" borderId="7" xfId="0" quotePrefix="1" applyFont="1" applyFill="1" applyBorder="1" applyAlignment="1"/>
    <xf numFmtId="0" fontId="4" fillId="0" borderId="14" xfId="0" applyFont="1" applyFill="1" applyBorder="1"/>
    <xf numFmtId="165" fontId="28" fillId="0" borderId="14" xfId="7" applyNumberFormat="1" applyFont="1" applyFill="1" applyBorder="1"/>
    <xf numFmtId="164" fontId="28" fillId="0" borderId="14" xfId="7" applyNumberFormat="1" applyFont="1" applyFill="1" applyBorder="1"/>
    <xf numFmtId="0" fontId="40" fillId="0" borderId="13" xfId="0" quotePrefix="1" applyFont="1" applyFill="1" applyBorder="1" applyAlignment="1">
      <alignment horizontal="center"/>
    </xf>
    <xf numFmtId="0" fontId="40" fillId="0" borderId="14" xfId="0" applyFont="1" applyFill="1" applyBorder="1" applyAlignment="1">
      <alignment horizontal="left"/>
    </xf>
    <xf numFmtId="43" fontId="39" fillId="0" borderId="14" xfId="7" applyFont="1" applyFill="1" applyBorder="1"/>
    <xf numFmtId="43" fontId="40" fillId="0" borderId="14" xfId="7" applyFont="1" applyFill="1" applyBorder="1"/>
    <xf numFmtId="0" fontId="40" fillId="0" borderId="14" xfId="0" applyFont="1" applyFill="1" applyBorder="1" applyAlignment="1">
      <alignment horizontal="center"/>
    </xf>
    <xf numFmtId="0" fontId="7" fillId="0" borderId="12" xfId="0" applyFont="1" applyFill="1" applyBorder="1"/>
    <xf numFmtId="0" fontId="4" fillId="0" borderId="13" xfId="0" quotePrefix="1" applyFont="1" applyFill="1" applyBorder="1" applyAlignment="1">
      <alignment horizontal="right"/>
    </xf>
    <xf numFmtId="43" fontId="4" fillId="0" borderId="14" xfId="7" applyFont="1" applyFill="1" applyBorder="1"/>
    <xf numFmtId="0" fontId="39" fillId="0" borderId="14" xfId="0" applyFont="1" applyFill="1" applyBorder="1" applyAlignment="1">
      <alignment horizontal="left"/>
    </xf>
    <xf numFmtId="43" fontId="4" fillId="0" borderId="14" xfId="0" applyNumberFormat="1" applyFont="1" applyFill="1" applyBorder="1"/>
    <xf numFmtId="0" fontId="40" fillId="0" borderId="1" xfId="0" applyFont="1" applyFill="1" applyBorder="1"/>
    <xf numFmtId="0" fontId="40" fillId="0" borderId="0" xfId="0" applyFont="1" applyFill="1" applyBorder="1"/>
    <xf numFmtId="0" fontId="4" fillId="0" borderId="9" xfId="0" applyFont="1" applyFill="1" applyBorder="1"/>
    <xf numFmtId="43" fontId="40" fillId="0" borderId="9" xfId="7" applyNumberFormat="1" applyFont="1" applyFill="1" applyBorder="1"/>
    <xf numFmtId="43" fontId="40" fillId="0" borderId="9" xfId="7" applyNumberFormat="1" applyFont="1" applyFill="1" applyBorder="1" applyAlignment="1">
      <alignment horizontal="center"/>
    </xf>
    <xf numFmtId="43" fontId="7" fillId="0" borderId="0" xfId="1" applyFont="1" applyFill="1" applyBorder="1" applyAlignment="1">
      <alignment horizontal="left"/>
    </xf>
    <xf numFmtId="43" fontId="7" fillId="0" borderId="9" xfId="1" applyFont="1" applyFill="1" applyBorder="1"/>
    <xf numFmtId="0" fontId="4" fillId="0" borderId="0" xfId="0" applyFont="1" applyFill="1" applyBorder="1" applyAlignment="1"/>
    <xf numFmtId="0" fontId="4" fillId="0" borderId="7" xfId="0" applyFont="1" applyFill="1" applyBorder="1" applyAlignment="1"/>
    <xf numFmtId="0" fontId="7" fillId="0" borderId="0" xfId="0" applyFont="1" applyFill="1" applyBorder="1" applyAlignment="1"/>
    <xf numFmtId="0" fontId="7" fillId="0" borderId="7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43" fontId="4" fillId="0" borderId="6" xfId="8" applyNumberFormat="1" applyFont="1" applyFill="1" applyBorder="1" applyAlignment="1" applyProtection="1"/>
    <xf numFmtId="0" fontId="18" fillId="0" borderId="14" xfId="0" applyNumberFormat="1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43" fontId="7" fillId="0" borderId="0" xfId="0" applyNumberFormat="1" applyFont="1" applyFill="1" applyBorder="1"/>
    <xf numFmtId="43" fontId="7" fillId="0" borderId="0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horizontal="center"/>
    </xf>
    <xf numFmtId="0" fontId="18" fillId="0" borderId="5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/>
    </xf>
    <xf numFmtId="0" fontId="38" fillId="0" borderId="4" xfId="0" applyFont="1" applyFill="1" applyBorder="1" applyAlignment="1">
      <alignment horizontal="left"/>
    </xf>
    <xf numFmtId="165" fontId="4" fillId="0" borderId="4" xfId="0" applyNumberFormat="1" applyFont="1" applyFill="1" applyBorder="1" applyAlignment="1">
      <alignment horizontal="center"/>
    </xf>
    <xf numFmtId="10" fontId="4" fillId="0" borderId="12" xfId="16" applyNumberFormat="1" applyFont="1" applyFill="1" applyBorder="1" applyAlignment="1">
      <alignment horizontal="center"/>
    </xf>
    <xf numFmtId="43" fontId="39" fillId="0" borderId="15" xfId="1" applyFont="1" applyFill="1" applyBorder="1" applyAlignment="1"/>
    <xf numFmtId="0" fontId="4" fillId="0" borderId="6" xfId="0" applyFont="1" applyFill="1" applyBorder="1" applyAlignment="1">
      <alignment horizontal="left"/>
    </xf>
    <xf numFmtId="165" fontId="4" fillId="0" borderId="7" xfId="0" applyNumberFormat="1" applyFont="1" applyFill="1" applyBorder="1" applyAlignment="1">
      <alignment horizontal="center"/>
    </xf>
    <xf numFmtId="165" fontId="4" fillId="0" borderId="8" xfId="0" applyNumberFormat="1" applyFont="1" applyFill="1" applyBorder="1" applyAlignment="1">
      <alignment horizontal="center"/>
    </xf>
    <xf numFmtId="10" fontId="4" fillId="0" borderId="10" xfId="16" applyNumberFormat="1" applyFont="1" applyFill="1" applyBorder="1" applyAlignment="1">
      <alignment horizontal="center"/>
    </xf>
    <xf numFmtId="43" fontId="39" fillId="0" borderId="1" xfId="1" applyFont="1" applyFill="1" applyBorder="1" applyAlignment="1"/>
    <xf numFmtId="0" fontId="18" fillId="0" borderId="8" xfId="0" applyNumberFormat="1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43" fontId="39" fillId="0" borderId="13" xfId="1" applyFont="1" applyFill="1" applyBorder="1" applyAlignment="1"/>
    <xf numFmtId="0" fontId="4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29" fillId="0" borderId="9" xfId="0" applyFont="1" applyBorder="1" applyAlignment="1">
      <alignment horizontal="left" vertical="center" wrapText="1"/>
    </xf>
    <xf numFmtId="0" fontId="29" fillId="0" borderId="9" xfId="0" applyNumberFormat="1" applyFont="1" applyBorder="1" applyAlignment="1">
      <alignment horizontal="left" vertical="center" wrapText="1"/>
    </xf>
    <xf numFmtId="43" fontId="4" fillId="0" borderId="14" xfId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38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164" fontId="28" fillId="0" borderId="14" xfId="7" applyNumberFormat="1" applyFont="1" applyFill="1" applyBorder="1" applyAlignment="1">
      <alignment horizontal="left" vertical="center"/>
    </xf>
    <xf numFmtId="43" fontId="40" fillId="0" borderId="14" xfId="7" applyFont="1" applyFill="1" applyBorder="1" applyAlignment="1">
      <alignment horizontal="left" vertical="center"/>
    </xf>
    <xf numFmtId="0" fontId="39" fillId="0" borderId="14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/>
    </xf>
    <xf numFmtId="43" fontId="7" fillId="0" borderId="14" xfId="7" applyFont="1" applyFill="1" applyBorder="1"/>
    <xf numFmtId="43" fontId="7" fillId="0" borderId="14" xfId="1" applyFont="1" applyFill="1" applyBorder="1" applyAlignment="1">
      <alignment horizontal="center"/>
    </xf>
    <xf numFmtId="43" fontId="7" fillId="0" borderId="9" xfId="1" applyFont="1" applyFill="1" applyBorder="1" applyAlignment="1">
      <alignment horizontal="center"/>
    </xf>
    <xf numFmtId="10" fontId="7" fillId="0" borderId="14" xfId="1" applyNumberFormat="1" applyFont="1" applyFill="1" applyBorder="1" applyAlignment="1">
      <alignment horizontal="center"/>
    </xf>
    <xf numFmtId="10" fontId="7" fillId="0" borderId="9" xfId="1" applyNumberFormat="1" applyFont="1" applyFill="1" applyBorder="1" applyAlignment="1">
      <alignment horizontal="center"/>
    </xf>
    <xf numFmtId="0" fontId="37" fillId="0" borderId="12" xfId="0" applyFont="1" applyFill="1" applyBorder="1"/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4" fillId="0" borderId="5" xfId="8" applyNumberFormat="1" applyFont="1" applyFill="1" applyBorder="1" applyAlignment="1" applyProtection="1"/>
    <xf numFmtId="43" fontId="39" fillId="0" borderId="5" xfId="1" applyFont="1" applyFill="1" applyBorder="1" applyAlignment="1"/>
    <xf numFmtId="43" fontId="4" fillId="0" borderId="9" xfId="8" applyNumberFormat="1" applyFont="1" applyFill="1" applyBorder="1" applyAlignment="1" applyProtection="1"/>
    <xf numFmtId="43" fontId="4" fillId="0" borderId="9" xfId="1" applyFont="1" applyFill="1" applyBorder="1"/>
    <xf numFmtId="165" fontId="4" fillId="0" borderId="9" xfId="0" applyNumberFormat="1" applyFont="1" applyFill="1" applyBorder="1" applyAlignment="1">
      <alignment horizontal="center"/>
    </xf>
    <xf numFmtId="10" fontId="4" fillId="0" borderId="9" xfId="16" applyNumberFormat="1" applyFont="1" applyFill="1" applyBorder="1" applyAlignment="1">
      <alignment horizontal="center"/>
    </xf>
    <xf numFmtId="43" fontId="39" fillId="0" borderId="9" xfId="1" applyFont="1" applyFill="1" applyBorder="1" applyAlignment="1"/>
    <xf numFmtId="0" fontId="38" fillId="0" borderId="0" xfId="0" applyFont="1" applyFill="1" applyBorder="1" applyAlignment="1">
      <alignment horizontal="left"/>
    </xf>
    <xf numFmtId="43" fontId="4" fillId="0" borderId="0" xfId="8" applyNumberFormat="1" applyFont="1" applyFill="1" applyBorder="1" applyAlignment="1" applyProtection="1"/>
    <xf numFmtId="165" fontId="4" fillId="0" borderId="0" xfId="0" applyNumberFormat="1" applyFont="1" applyFill="1" applyBorder="1" applyAlignment="1">
      <alignment horizontal="center"/>
    </xf>
    <xf numFmtId="10" fontId="4" fillId="0" borderId="0" xfId="16" applyNumberFormat="1" applyFont="1" applyFill="1" applyBorder="1" applyAlignment="1">
      <alignment horizontal="center"/>
    </xf>
    <xf numFmtId="43" fontId="39" fillId="0" borderId="0" xfId="1" applyFont="1" applyFill="1" applyBorder="1" applyAlignment="1"/>
    <xf numFmtId="0" fontId="29" fillId="0" borderId="0" xfId="0" applyFont="1" applyBorder="1" applyAlignment="1">
      <alignment horizontal="left" vertical="center"/>
    </xf>
    <xf numFmtId="0" fontId="7" fillId="0" borderId="14" xfId="0" applyFont="1" applyFill="1" applyBorder="1" applyAlignment="1">
      <alignment horizontal="left"/>
    </xf>
    <xf numFmtId="0" fontId="38" fillId="0" borderId="14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10" fontId="4" fillId="0" borderId="0" xfId="0" applyNumberFormat="1" applyFont="1" applyFill="1" applyBorder="1" applyAlignment="1">
      <alignment horizontal="center"/>
    </xf>
    <xf numFmtId="10" fontId="7" fillId="0" borderId="0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1" fillId="0" borderId="9" xfId="0" applyFont="1" applyBorder="1" applyAlignment="1">
      <alignment horizontal="left" vertical="center"/>
    </xf>
    <xf numFmtId="43" fontId="4" fillId="0" borderId="15" xfId="1" applyFont="1" applyFill="1" applyBorder="1" applyAlignment="1"/>
    <xf numFmtId="43" fontId="0" fillId="0" borderId="0" xfId="1" applyFont="1"/>
    <xf numFmtId="43" fontId="4" fillId="0" borderId="1" xfId="1" applyFont="1" applyFill="1" applyBorder="1"/>
    <xf numFmtId="0" fontId="27" fillId="0" borderId="0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left"/>
    </xf>
    <xf numFmtId="0" fontId="12" fillId="0" borderId="15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34" fillId="0" borderId="5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left"/>
    </xf>
    <xf numFmtId="0" fontId="12" fillId="0" borderId="13" xfId="0" applyFont="1" applyFill="1" applyBorder="1" applyAlignment="1">
      <alignment horizontal="left"/>
    </xf>
    <xf numFmtId="0" fontId="36" fillId="0" borderId="6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40" fillId="0" borderId="12" xfId="0" applyFont="1" applyFill="1" applyBorder="1" applyAlignment="1">
      <alignment horizontal="center"/>
    </xf>
    <xf numFmtId="0" fontId="40" fillId="0" borderId="15" xfId="0" applyFont="1" applyFill="1" applyBorder="1" applyAlignment="1">
      <alignment horizontal="center"/>
    </xf>
    <xf numFmtId="0" fontId="40" fillId="0" borderId="1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12" fillId="0" borderId="7" xfId="0" applyFont="1" applyFill="1" applyBorder="1" applyAlignment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7" xfId="0" applyFont="1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</cellXfs>
  <cellStyles count="20">
    <cellStyle name="Comma" xfId="1" builtinId="3"/>
    <cellStyle name="Comma 2" xfId="2"/>
    <cellStyle name="Comma 2 2" xfId="3"/>
    <cellStyle name="Comma 2 3" xfId="4"/>
    <cellStyle name="Comma 2 4" xfId="5"/>
    <cellStyle name="Comma 3" xfId="6"/>
    <cellStyle name="Comma 4" xfId="7"/>
    <cellStyle name="Hyperlink" xfId="8" builtinId="8"/>
    <cellStyle name="Normal" xfId="0" builtinId="0"/>
    <cellStyle name="Normal 2 2" xfId="9"/>
    <cellStyle name="Normal 2 3" xfId="10"/>
    <cellStyle name="Normal 2 4" xfId="11"/>
    <cellStyle name="Normal 3" xfId="12"/>
    <cellStyle name="Normal 4" xfId="13"/>
    <cellStyle name="Normal 5" xfId="14"/>
    <cellStyle name="Normal 6" xfId="15"/>
    <cellStyle name="Percent" xfId="16" builtinId="5"/>
    <cellStyle name="Percent 2 2" xfId="17"/>
    <cellStyle name="Percent 2 3" xfId="18"/>
    <cellStyle name="Percent 2 4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4"/>
  <sheetViews>
    <sheetView workbookViewId="0">
      <selection activeCell="E109" sqref="E109"/>
    </sheetView>
  </sheetViews>
  <sheetFormatPr defaultRowHeight="12.75" x14ac:dyDescent="0.2"/>
  <cols>
    <col min="1" max="1" width="6.5703125" style="1" customWidth="1"/>
    <col min="2" max="2" width="13" style="1" customWidth="1"/>
    <col min="3" max="4" width="9.140625" style="1"/>
    <col min="5" max="5" width="10.42578125" style="1" customWidth="1"/>
    <col min="6" max="6" width="18" style="1" customWidth="1"/>
    <col min="7" max="7" width="7.42578125" style="1" hidden="1" customWidth="1"/>
    <col min="8" max="8" width="0.140625" style="1" hidden="1" customWidth="1"/>
    <col min="9" max="9" width="29.5703125" style="1" customWidth="1"/>
    <col min="10" max="10" width="15" style="1" customWidth="1"/>
    <col min="11" max="11" width="13" style="1" customWidth="1"/>
    <col min="12" max="12" width="9.7109375" style="1" customWidth="1"/>
    <col min="13" max="13" width="12" style="1" customWidth="1"/>
    <col min="14" max="14" width="15.42578125" style="145" customWidth="1"/>
    <col min="15" max="15" width="32.140625" style="1" customWidth="1"/>
    <col min="16" max="16384" width="9.140625" style="1"/>
  </cols>
  <sheetData>
    <row r="1" spans="1:15" s="13" customFormat="1" ht="18.75" x14ac:dyDescent="0.2">
      <c r="A1" s="475" t="s">
        <v>3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7"/>
    </row>
    <row r="2" spans="1:15" s="13" customFormat="1" ht="15" customHeight="1" x14ac:dyDescent="0.2">
      <c r="A2" s="478" t="s">
        <v>4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80"/>
    </row>
    <row r="3" spans="1:15" s="13" customFormat="1" x14ac:dyDescent="0.2">
      <c r="A3" s="481" t="s">
        <v>5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3"/>
    </row>
    <row r="4" spans="1:15" s="13" customFormat="1" ht="15" customHeight="1" x14ac:dyDescent="0.2">
      <c r="A4" s="484" t="s">
        <v>9</v>
      </c>
      <c r="B4" s="485"/>
      <c r="C4" s="485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6"/>
    </row>
    <row r="5" spans="1:15" s="13" customFormat="1" ht="15.75" x14ac:dyDescent="0.2">
      <c r="A5" s="487" t="s">
        <v>170</v>
      </c>
      <c r="B5" s="488"/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93"/>
    </row>
    <row r="6" spans="1:15" x14ac:dyDescent="0.2">
      <c r="A6" s="500" t="s">
        <v>10</v>
      </c>
      <c r="B6" s="501"/>
      <c r="C6" s="501"/>
      <c r="D6" s="501"/>
      <c r="E6" s="501"/>
      <c r="F6" s="501"/>
      <c r="G6" s="501"/>
      <c r="H6" s="502"/>
      <c r="I6" s="497" t="s">
        <v>11</v>
      </c>
      <c r="J6" s="494" t="s">
        <v>12</v>
      </c>
      <c r="K6" s="511" t="s">
        <v>13</v>
      </c>
      <c r="L6" s="244"/>
      <c r="M6" s="509" t="s">
        <v>31</v>
      </c>
      <c r="N6" s="510"/>
      <c r="O6" s="3"/>
    </row>
    <row r="7" spans="1:15" x14ac:dyDescent="0.2">
      <c r="A7" s="503"/>
      <c r="B7" s="504"/>
      <c r="C7" s="504"/>
      <c r="D7" s="504"/>
      <c r="E7" s="504"/>
      <c r="F7" s="504"/>
      <c r="G7" s="504"/>
      <c r="H7" s="505"/>
      <c r="I7" s="498"/>
      <c r="J7" s="495"/>
      <c r="K7" s="512"/>
      <c r="L7" s="245" t="s">
        <v>14</v>
      </c>
      <c r="M7" s="90" t="s">
        <v>17</v>
      </c>
      <c r="N7" s="91" t="s">
        <v>34</v>
      </c>
      <c r="O7" s="2" t="s">
        <v>30</v>
      </c>
    </row>
    <row r="8" spans="1:15" ht="12.75" customHeight="1" x14ac:dyDescent="0.2">
      <c r="A8" s="503"/>
      <c r="B8" s="504"/>
      <c r="C8" s="504"/>
      <c r="D8" s="504"/>
      <c r="E8" s="504"/>
      <c r="F8" s="504"/>
      <c r="G8" s="504"/>
      <c r="H8" s="505"/>
      <c r="I8" s="498"/>
      <c r="J8" s="495"/>
      <c r="K8" s="512"/>
      <c r="L8" s="245" t="s">
        <v>15</v>
      </c>
      <c r="M8" s="90" t="s">
        <v>32</v>
      </c>
      <c r="N8" s="91" t="s">
        <v>19</v>
      </c>
      <c r="O8" s="2" t="s">
        <v>35</v>
      </c>
    </row>
    <row r="9" spans="1:15" ht="12.75" customHeight="1" x14ac:dyDescent="0.2">
      <c r="A9" s="506"/>
      <c r="B9" s="507"/>
      <c r="C9" s="507"/>
      <c r="D9" s="507"/>
      <c r="E9" s="507"/>
      <c r="F9" s="507"/>
      <c r="G9" s="507"/>
      <c r="H9" s="508"/>
      <c r="I9" s="499"/>
      <c r="J9" s="496"/>
      <c r="K9" s="513"/>
      <c r="L9" s="246" t="s">
        <v>16</v>
      </c>
      <c r="M9" s="92" t="s">
        <v>33</v>
      </c>
      <c r="N9" s="93" t="s">
        <v>20</v>
      </c>
      <c r="O9" s="4"/>
    </row>
    <row r="10" spans="1:15" ht="12.75" customHeight="1" x14ac:dyDescent="0.2">
      <c r="A10" s="517" t="s">
        <v>175</v>
      </c>
      <c r="B10" s="518"/>
      <c r="C10" s="221"/>
      <c r="D10" s="221"/>
      <c r="E10" s="221"/>
      <c r="F10" s="221"/>
      <c r="G10" s="221"/>
      <c r="H10" s="221"/>
      <c r="I10" s="220"/>
      <c r="J10" s="229"/>
      <c r="K10" s="222"/>
      <c r="L10" s="230"/>
      <c r="M10" s="90"/>
      <c r="N10" s="123"/>
      <c r="O10" s="2"/>
    </row>
    <row r="11" spans="1:15" s="6" customFormat="1" ht="15" customHeight="1" x14ac:dyDescent="0.25">
      <c r="A11" s="14" t="s">
        <v>28</v>
      </c>
      <c r="B11" s="7"/>
      <c r="C11" s="7"/>
      <c r="D11" s="7"/>
      <c r="E11" s="8"/>
      <c r="F11" s="7"/>
      <c r="G11" s="9"/>
      <c r="H11" s="9"/>
      <c r="I11" s="10"/>
      <c r="J11" s="7"/>
      <c r="K11" s="194"/>
      <c r="L11" s="195"/>
      <c r="M11" s="11"/>
      <c r="N11" s="5"/>
      <c r="O11" s="11"/>
    </row>
    <row r="12" spans="1:15" s="22" customFormat="1" ht="15" customHeight="1" x14ac:dyDescent="0.25">
      <c r="A12" s="491" t="s">
        <v>65</v>
      </c>
      <c r="B12" s="492"/>
      <c r="C12" s="492"/>
      <c r="D12" s="492"/>
      <c r="E12" s="492"/>
      <c r="F12" s="492"/>
      <c r="G12" s="16"/>
      <c r="H12" s="16"/>
      <c r="I12" s="17" t="s">
        <v>29</v>
      </c>
      <c r="J12" s="18">
        <v>5000000</v>
      </c>
      <c r="K12" s="196"/>
      <c r="L12" s="21"/>
      <c r="M12" s="20">
        <f t="shared" ref="M12:M81" si="0">+N12/J12</f>
        <v>0</v>
      </c>
      <c r="N12" s="21"/>
      <c r="O12" s="131" t="s">
        <v>191</v>
      </c>
    </row>
    <row r="13" spans="1:15" s="22" customFormat="1" ht="15" customHeight="1" x14ac:dyDescent="0.25">
      <c r="A13" s="491" t="s">
        <v>66</v>
      </c>
      <c r="B13" s="492"/>
      <c r="C13" s="492"/>
      <c r="D13" s="492"/>
      <c r="E13" s="492"/>
      <c r="F13" s="492"/>
      <c r="G13" s="23"/>
      <c r="H13" s="23"/>
      <c r="I13" s="24" t="s">
        <v>29</v>
      </c>
      <c r="J13" s="25">
        <v>10000000</v>
      </c>
      <c r="K13" s="197"/>
      <c r="L13" s="198"/>
      <c r="M13" s="20">
        <f t="shared" si="0"/>
        <v>0</v>
      </c>
      <c r="N13" s="88"/>
      <c r="O13" s="131" t="s">
        <v>191</v>
      </c>
    </row>
    <row r="14" spans="1:15" s="129" customFormat="1" ht="15" customHeight="1" x14ac:dyDescent="0.25">
      <c r="A14" s="491" t="s">
        <v>67</v>
      </c>
      <c r="B14" s="492"/>
      <c r="C14" s="492"/>
      <c r="D14" s="492"/>
      <c r="E14" s="492"/>
      <c r="F14" s="531"/>
      <c r="G14" s="232"/>
      <c r="H14" s="232"/>
      <c r="I14" s="223" t="s">
        <v>29</v>
      </c>
      <c r="J14" s="18">
        <v>4000000</v>
      </c>
      <c r="K14" s="196"/>
      <c r="L14" s="21"/>
      <c r="M14" s="26">
        <f t="shared" si="0"/>
        <v>0</v>
      </c>
      <c r="N14" s="19"/>
      <c r="O14" s="131" t="s">
        <v>191</v>
      </c>
    </row>
    <row r="15" spans="1:15" s="242" customFormat="1" ht="15" customHeight="1" x14ac:dyDescent="0.25">
      <c r="A15" s="233"/>
      <c r="B15" s="231" t="s">
        <v>57</v>
      </c>
      <c r="C15" s="234"/>
      <c r="D15" s="234"/>
      <c r="E15" s="234"/>
      <c r="F15" s="234"/>
      <c r="G15" s="235"/>
      <c r="H15" s="235"/>
      <c r="I15" s="236"/>
      <c r="J15" s="237"/>
      <c r="K15" s="238"/>
      <c r="L15" s="239"/>
      <c r="M15" s="240"/>
      <c r="N15" s="239"/>
      <c r="O15" s="241"/>
    </row>
    <row r="16" spans="1:15" s="242" customFormat="1" ht="15" customHeight="1" x14ac:dyDescent="0.25">
      <c r="A16" s="233"/>
      <c r="B16" s="231" t="s">
        <v>58</v>
      </c>
      <c r="C16" s="234"/>
      <c r="D16" s="234"/>
      <c r="E16" s="234"/>
      <c r="F16" s="234"/>
      <c r="G16" s="235"/>
      <c r="H16" s="235"/>
      <c r="I16" s="236"/>
      <c r="J16" s="237"/>
      <c r="K16" s="238"/>
      <c r="L16" s="239"/>
      <c r="M16" s="240"/>
      <c r="N16" s="239"/>
      <c r="O16" s="241"/>
    </row>
    <row r="17" spans="1:15" s="22" customFormat="1" ht="15" customHeight="1" x14ac:dyDescent="0.25">
      <c r="A17" s="491" t="s">
        <v>68</v>
      </c>
      <c r="B17" s="492"/>
      <c r="C17" s="492"/>
      <c r="D17" s="492"/>
      <c r="E17" s="492"/>
      <c r="F17" s="492"/>
      <c r="G17" s="16"/>
      <c r="H17" s="16"/>
      <c r="I17" s="17" t="s">
        <v>29</v>
      </c>
      <c r="J17" s="18">
        <v>1000000</v>
      </c>
      <c r="K17" s="196"/>
      <c r="L17" s="21"/>
      <c r="M17" s="20">
        <f t="shared" si="0"/>
        <v>0</v>
      </c>
      <c r="N17" s="21"/>
      <c r="O17" s="131" t="s">
        <v>187</v>
      </c>
    </row>
    <row r="18" spans="1:15" s="22" customFormat="1" ht="15" customHeight="1" x14ac:dyDescent="0.25">
      <c r="A18" s="491" t="s">
        <v>59</v>
      </c>
      <c r="B18" s="492"/>
      <c r="C18" s="492"/>
      <c r="D18" s="492"/>
      <c r="E18" s="492"/>
      <c r="F18" s="492"/>
      <c r="G18" s="23"/>
      <c r="H18" s="27"/>
      <c r="I18" s="28" t="s">
        <v>36</v>
      </c>
      <c r="J18" s="29">
        <v>500000</v>
      </c>
      <c r="K18" s="30"/>
      <c r="L18" s="31"/>
      <c r="M18" s="26">
        <f t="shared" si="0"/>
        <v>0</v>
      </c>
      <c r="N18" s="32"/>
      <c r="O18" s="131" t="s">
        <v>190</v>
      </c>
    </row>
    <row r="19" spans="1:15" s="22" customFormat="1" ht="15" customHeight="1" x14ac:dyDescent="0.25">
      <c r="A19" s="491" t="s">
        <v>60</v>
      </c>
      <c r="B19" s="492"/>
      <c r="C19" s="492"/>
      <c r="D19" s="492"/>
      <c r="E19" s="492"/>
      <c r="F19" s="492"/>
      <c r="G19" s="18"/>
      <c r="H19" s="18"/>
      <c r="I19" s="28" t="s">
        <v>36</v>
      </c>
      <c r="J19" s="18">
        <v>500000</v>
      </c>
      <c r="K19" s="34"/>
      <c r="L19" s="18"/>
      <c r="M19" s="20">
        <f t="shared" si="0"/>
        <v>0</v>
      </c>
      <c r="N19" s="136"/>
      <c r="O19" s="131" t="s">
        <v>190</v>
      </c>
    </row>
    <row r="20" spans="1:15" s="22" customFormat="1" ht="15" customHeight="1" x14ac:dyDescent="0.25">
      <c r="A20" s="491" t="s">
        <v>61</v>
      </c>
      <c r="B20" s="492"/>
      <c r="C20" s="492"/>
      <c r="D20" s="492"/>
      <c r="E20" s="492"/>
      <c r="F20" s="492"/>
      <c r="G20" s="25"/>
      <c r="H20" s="25"/>
      <c r="I20" s="36" t="s">
        <v>36</v>
      </c>
      <c r="J20" s="25">
        <v>500000</v>
      </c>
      <c r="K20" s="29"/>
      <c r="L20" s="25"/>
      <c r="M20" s="26">
        <f t="shared" si="0"/>
        <v>0</v>
      </c>
      <c r="N20" s="137"/>
      <c r="O20" s="131" t="s">
        <v>190</v>
      </c>
    </row>
    <row r="21" spans="1:15" s="22" customFormat="1" ht="15" customHeight="1" x14ac:dyDescent="0.25">
      <c r="A21" s="491" t="s">
        <v>62</v>
      </c>
      <c r="B21" s="492"/>
      <c r="C21" s="492"/>
      <c r="D21" s="492"/>
      <c r="E21" s="492"/>
      <c r="F21" s="492"/>
      <c r="G21" s="18"/>
      <c r="H21" s="18"/>
      <c r="I21" s="33" t="s">
        <v>46</v>
      </c>
      <c r="J21" s="34">
        <v>500000</v>
      </c>
      <c r="K21" s="34"/>
      <c r="L21" s="18"/>
      <c r="M21" s="20">
        <f t="shared" si="0"/>
        <v>0</v>
      </c>
      <c r="N21" s="136"/>
      <c r="O21" s="131" t="s">
        <v>190</v>
      </c>
    </row>
    <row r="22" spans="1:15" s="22" customFormat="1" ht="15" customHeight="1" x14ac:dyDescent="0.25">
      <c r="A22" s="528" t="s">
        <v>63</v>
      </c>
      <c r="B22" s="529"/>
      <c r="C22" s="529"/>
      <c r="D22" s="529"/>
      <c r="E22" s="529"/>
      <c r="F22" s="529"/>
      <c r="G22" s="18"/>
      <c r="H22" s="37"/>
      <c r="I22" s="52" t="s">
        <v>47</v>
      </c>
      <c r="J22" s="98">
        <v>500000</v>
      </c>
      <c r="K22" s="100"/>
      <c r="L22" s="100"/>
      <c r="M22" s="102">
        <f t="shared" si="0"/>
        <v>0</v>
      </c>
      <c r="N22" s="138"/>
      <c r="O22" s="131" t="s">
        <v>190</v>
      </c>
    </row>
    <row r="23" spans="1:15" s="22" customFormat="1" ht="15" customHeight="1" x14ac:dyDescent="0.25">
      <c r="A23" s="94" t="s">
        <v>64</v>
      </c>
      <c r="B23" s="95"/>
      <c r="C23" s="95"/>
      <c r="D23" s="95"/>
      <c r="E23" s="95"/>
      <c r="F23" s="96"/>
      <c r="G23" s="25"/>
      <c r="H23" s="25"/>
      <c r="I23" s="97" t="s">
        <v>48</v>
      </c>
      <c r="J23" s="99">
        <v>500000</v>
      </c>
      <c r="K23" s="101"/>
      <c r="L23" s="101"/>
      <c r="M23" s="103">
        <f t="shared" si="0"/>
        <v>0</v>
      </c>
      <c r="N23" s="139"/>
      <c r="O23" s="131" t="s">
        <v>190</v>
      </c>
    </row>
    <row r="24" spans="1:15" s="22" customFormat="1" ht="15" customHeight="1" x14ac:dyDescent="0.25">
      <c r="A24" s="530" t="s">
        <v>64</v>
      </c>
      <c r="B24" s="530"/>
      <c r="C24" s="530"/>
      <c r="D24" s="530"/>
      <c r="E24" s="530"/>
      <c r="F24" s="530"/>
      <c r="G24" s="127"/>
      <c r="H24" s="127"/>
      <c r="I24" s="33" t="s">
        <v>49</v>
      </c>
      <c r="J24" s="34">
        <v>500000</v>
      </c>
      <c r="K24" s="107"/>
      <c r="L24" s="107"/>
      <c r="M24" s="20">
        <f t="shared" si="0"/>
        <v>0</v>
      </c>
      <c r="N24" s="140"/>
      <c r="O24" s="131" t="s">
        <v>190</v>
      </c>
    </row>
    <row r="25" spans="1:15" s="22" customFormat="1" ht="15" customHeight="1" x14ac:dyDescent="0.25">
      <c r="A25" s="491" t="s">
        <v>69</v>
      </c>
      <c r="B25" s="492"/>
      <c r="C25" s="492"/>
      <c r="D25" s="492"/>
      <c r="E25" s="492"/>
      <c r="F25" s="492"/>
      <c r="G25" s="39"/>
      <c r="H25" s="40"/>
      <c r="I25" s="33" t="s">
        <v>50</v>
      </c>
      <c r="J25" s="34">
        <v>500000</v>
      </c>
      <c r="K25" s="107"/>
      <c r="L25" s="107"/>
      <c r="M25" s="20">
        <f t="shared" si="0"/>
        <v>0</v>
      </c>
      <c r="N25" s="140"/>
      <c r="O25" s="131" t="s">
        <v>190</v>
      </c>
    </row>
    <row r="26" spans="1:15" s="22" customFormat="1" ht="15" customHeight="1" x14ac:dyDescent="0.25">
      <c r="A26" s="491" t="s">
        <v>70</v>
      </c>
      <c r="B26" s="492"/>
      <c r="C26" s="492"/>
      <c r="D26" s="492"/>
      <c r="E26" s="492"/>
      <c r="F26" s="492"/>
      <c r="G26" s="38"/>
      <c r="H26" s="38"/>
      <c r="I26" s="33" t="s">
        <v>51</v>
      </c>
      <c r="J26" s="34">
        <v>500000</v>
      </c>
      <c r="K26" s="107"/>
      <c r="L26" s="107"/>
      <c r="M26" s="20">
        <f t="shared" si="0"/>
        <v>0</v>
      </c>
      <c r="N26" s="140"/>
      <c r="O26" s="131" t="s">
        <v>190</v>
      </c>
    </row>
    <row r="27" spans="1:15" s="22" customFormat="1" ht="15" customHeight="1" x14ac:dyDescent="0.25">
      <c r="A27" s="491" t="s">
        <v>71</v>
      </c>
      <c r="B27" s="492"/>
      <c r="C27" s="492"/>
      <c r="D27" s="492"/>
      <c r="E27" s="492"/>
      <c r="F27" s="492"/>
      <c r="G27" s="39"/>
      <c r="H27" s="40"/>
      <c r="I27" s="33" t="s">
        <v>52</v>
      </c>
      <c r="J27" s="34">
        <v>500000</v>
      </c>
      <c r="K27" s="107"/>
      <c r="L27" s="108"/>
      <c r="M27" s="20">
        <f t="shared" si="0"/>
        <v>0</v>
      </c>
      <c r="N27" s="140"/>
      <c r="O27" s="131" t="s">
        <v>190</v>
      </c>
    </row>
    <row r="28" spans="1:15" s="22" customFormat="1" ht="15" customHeight="1" x14ac:dyDescent="0.25">
      <c r="A28" s="491" t="s">
        <v>72</v>
      </c>
      <c r="B28" s="492"/>
      <c r="C28" s="492"/>
      <c r="D28" s="492"/>
      <c r="E28" s="492"/>
      <c r="F28" s="492"/>
      <c r="G28" s="39"/>
      <c r="H28" s="40"/>
      <c r="I28" s="33" t="s">
        <v>53</v>
      </c>
      <c r="J28" s="34">
        <v>2400000</v>
      </c>
      <c r="K28" s="107"/>
      <c r="L28" s="107"/>
      <c r="M28" s="20">
        <f t="shared" si="0"/>
        <v>0</v>
      </c>
      <c r="N28" s="140"/>
      <c r="O28" s="131" t="s">
        <v>187</v>
      </c>
    </row>
    <row r="29" spans="1:15" s="22" customFormat="1" ht="15" customHeight="1" x14ac:dyDescent="0.25">
      <c r="A29" s="491" t="s">
        <v>71</v>
      </c>
      <c r="B29" s="492"/>
      <c r="C29" s="492"/>
      <c r="D29" s="492"/>
      <c r="E29" s="492"/>
      <c r="F29" s="492"/>
      <c r="G29" s="41"/>
      <c r="H29" s="42"/>
      <c r="I29" s="33" t="s">
        <v>54</v>
      </c>
      <c r="J29" s="34">
        <v>1000000</v>
      </c>
      <c r="K29" s="107"/>
      <c r="L29" s="109"/>
      <c r="M29" s="20">
        <f t="shared" si="0"/>
        <v>0.76265050000000001</v>
      </c>
      <c r="N29" s="110">
        <f>27866.59+3460+504543+191212.91+20698+14870</f>
        <v>762650.5</v>
      </c>
      <c r="O29" s="130" t="s">
        <v>176</v>
      </c>
    </row>
    <row r="30" spans="1:15" s="22" customFormat="1" ht="15" customHeight="1" x14ac:dyDescent="0.25">
      <c r="A30" s="491" t="s">
        <v>71</v>
      </c>
      <c r="B30" s="492"/>
      <c r="C30" s="492"/>
      <c r="D30" s="492"/>
      <c r="E30" s="492"/>
      <c r="F30" s="492"/>
      <c r="G30" s="44"/>
      <c r="H30" s="45"/>
      <c r="I30" s="33" t="s">
        <v>55</v>
      </c>
      <c r="J30" s="34">
        <v>1000000</v>
      </c>
      <c r="K30" s="107"/>
      <c r="L30" s="109"/>
      <c r="M30" s="20">
        <f t="shared" si="0"/>
        <v>0.72934047999999996</v>
      </c>
      <c r="N30" s="110">
        <f>3460+436616.5+147718.48+69560+71985.5</f>
        <v>729340.48</v>
      </c>
      <c r="O30" s="130" t="s">
        <v>177</v>
      </c>
    </row>
    <row r="31" spans="1:15" s="22" customFormat="1" ht="15" customHeight="1" x14ac:dyDescent="0.25">
      <c r="A31" s="491" t="s">
        <v>71</v>
      </c>
      <c r="B31" s="492"/>
      <c r="C31" s="492"/>
      <c r="D31" s="492"/>
      <c r="E31" s="492"/>
      <c r="F31" s="492"/>
      <c r="G31" s="38"/>
      <c r="H31" s="38"/>
      <c r="I31" s="33" t="s">
        <v>39</v>
      </c>
      <c r="J31" s="34">
        <v>1500000</v>
      </c>
      <c r="K31" s="107"/>
      <c r="L31" s="107"/>
      <c r="M31" s="20">
        <f t="shared" si="0"/>
        <v>0.71542085333333338</v>
      </c>
      <c r="N31" s="140">
        <f>41324.74+3460+703582+216364.54+108400</f>
        <v>1073131.28</v>
      </c>
      <c r="O31" s="130" t="s">
        <v>178</v>
      </c>
    </row>
    <row r="32" spans="1:15" s="22" customFormat="1" ht="15" customHeight="1" x14ac:dyDescent="0.25">
      <c r="A32" s="491" t="s">
        <v>71</v>
      </c>
      <c r="B32" s="492"/>
      <c r="C32" s="492"/>
      <c r="D32" s="492"/>
      <c r="E32" s="492"/>
      <c r="F32" s="492"/>
      <c r="G32" s="39"/>
      <c r="H32" s="40"/>
      <c r="I32" s="33" t="s">
        <v>38</v>
      </c>
      <c r="J32" s="34">
        <v>1000000</v>
      </c>
      <c r="K32" s="107"/>
      <c r="L32" s="107"/>
      <c r="M32" s="20">
        <f t="shared" si="0"/>
        <v>0.69578273000000002</v>
      </c>
      <c r="N32" s="140">
        <f>26026.97+472782.4+191803.36+5170</f>
        <v>695782.73</v>
      </c>
      <c r="O32" s="130" t="s">
        <v>176</v>
      </c>
    </row>
    <row r="33" spans="1:15" s="22" customFormat="1" ht="15" customHeight="1" x14ac:dyDescent="0.25">
      <c r="A33" s="491" t="s">
        <v>71</v>
      </c>
      <c r="B33" s="492"/>
      <c r="C33" s="492"/>
      <c r="D33" s="492"/>
      <c r="E33" s="492"/>
      <c r="F33" s="492"/>
      <c r="G33" s="41"/>
      <c r="H33" s="42"/>
      <c r="I33" s="33" t="s">
        <v>37</v>
      </c>
      <c r="J33" s="34">
        <v>1000000</v>
      </c>
      <c r="K33" s="109"/>
      <c r="L33" s="109"/>
      <c r="M33" s="20">
        <f t="shared" si="0"/>
        <v>0.65707329000000003</v>
      </c>
      <c r="N33" s="110">
        <f>31745.93+393742+169962.36+44715+16908</f>
        <v>657073.29</v>
      </c>
      <c r="O33" s="130" t="s">
        <v>176</v>
      </c>
    </row>
    <row r="34" spans="1:15" s="22" customFormat="1" ht="15" customHeight="1" x14ac:dyDescent="0.25">
      <c r="A34" s="491" t="s">
        <v>71</v>
      </c>
      <c r="B34" s="492"/>
      <c r="C34" s="492"/>
      <c r="D34" s="492"/>
      <c r="E34" s="492"/>
      <c r="F34" s="492"/>
      <c r="G34" s="44"/>
      <c r="H34" s="45"/>
      <c r="I34" s="33" t="s">
        <v>40</v>
      </c>
      <c r="J34" s="34">
        <v>1000000</v>
      </c>
      <c r="K34" s="109"/>
      <c r="L34" s="109"/>
      <c r="M34" s="20">
        <f t="shared" si="0"/>
        <v>0.72506857999999996</v>
      </c>
      <c r="N34" s="110">
        <f>11092.26+3460+519620.2+158018.21+32877.91</f>
        <v>725068.58</v>
      </c>
      <c r="O34" s="130" t="s">
        <v>176</v>
      </c>
    </row>
    <row r="35" spans="1:15" s="22" customFormat="1" ht="15" customHeight="1" x14ac:dyDescent="0.25">
      <c r="A35" s="491" t="s">
        <v>71</v>
      </c>
      <c r="B35" s="492"/>
      <c r="C35" s="492"/>
      <c r="D35" s="492"/>
      <c r="E35" s="492"/>
      <c r="F35" s="492"/>
      <c r="G35" s="41"/>
      <c r="H35" s="42"/>
      <c r="I35" s="33" t="s">
        <v>41</v>
      </c>
      <c r="J35" s="34">
        <v>1000000</v>
      </c>
      <c r="K35" s="109">
        <v>42913</v>
      </c>
      <c r="L35" s="109">
        <v>43003</v>
      </c>
      <c r="M35" s="20">
        <f t="shared" si="0"/>
        <v>0.94324251999999986</v>
      </c>
      <c r="N35" s="135">
        <f>28003.11+3460+574783.5+207119.71+129876.2</f>
        <v>943242.5199999999</v>
      </c>
      <c r="O35" s="130" t="s">
        <v>179</v>
      </c>
    </row>
    <row r="36" spans="1:15" s="22" customFormat="1" ht="15" customHeight="1" x14ac:dyDescent="0.25">
      <c r="A36" s="190" t="s">
        <v>77</v>
      </c>
      <c r="B36" s="191"/>
      <c r="C36" s="191"/>
      <c r="D36" s="191"/>
      <c r="E36" s="191"/>
      <c r="F36" s="191"/>
      <c r="G36" s="41"/>
      <c r="H36" s="42"/>
      <c r="I36" s="33" t="s">
        <v>78</v>
      </c>
      <c r="J36" s="34">
        <v>245446.21</v>
      </c>
      <c r="K36" s="109">
        <v>42885</v>
      </c>
      <c r="L36" s="109">
        <v>42965</v>
      </c>
      <c r="M36" s="20">
        <f t="shared" si="0"/>
        <v>0.90623636030069488</v>
      </c>
      <c r="N36" s="135">
        <f>1673.82+30926.95+118407.1+71424.41</f>
        <v>222432.28</v>
      </c>
      <c r="O36" s="130" t="s">
        <v>180</v>
      </c>
    </row>
    <row r="37" spans="1:15" s="22" customFormat="1" ht="15" customHeight="1" x14ac:dyDescent="0.25">
      <c r="A37" s="190" t="s">
        <v>79</v>
      </c>
      <c r="B37" s="191"/>
      <c r="C37" s="191"/>
      <c r="D37" s="191"/>
      <c r="E37" s="191"/>
      <c r="F37" s="191"/>
      <c r="G37" s="41"/>
      <c r="H37" s="42"/>
      <c r="I37" s="33" t="s">
        <v>80</v>
      </c>
      <c r="J37" s="34">
        <v>237240.2</v>
      </c>
      <c r="K37" s="109">
        <v>42835</v>
      </c>
      <c r="L37" s="109">
        <v>42860</v>
      </c>
      <c r="M37" s="20">
        <f t="shared" si="0"/>
        <v>0.9516134280783779</v>
      </c>
      <c r="N37" s="135">
        <f>87861.91+73417.91+60238.74+4242.4</f>
        <v>225760.96</v>
      </c>
      <c r="O37" s="130" t="s">
        <v>181</v>
      </c>
    </row>
    <row r="38" spans="1:15" s="22" customFormat="1" ht="15" customHeight="1" x14ac:dyDescent="0.25">
      <c r="A38" s="190" t="s">
        <v>81</v>
      </c>
      <c r="B38" s="191"/>
      <c r="C38" s="191"/>
      <c r="D38" s="191"/>
      <c r="E38" s="191"/>
      <c r="F38" s="191"/>
      <c r="G38" s="41"/>
      <c r="H38" s="42"/>
      <c r="I38" s="33" t="s">
        <v>82</v>
      </c>
      <c r="J38" s="34">
        <v>206207.35999999999</v>
      </c>
      <c r="K38" s="109">
        <v>42857</v>
      </c>
      <c r="L38" s="109">
        <v>42907</v>
      </c>
      <c r="M38" s="20">
        <f t="shared" si="0"/>
        <v>0.98044982487531007</v>
      </c>
      <c r="N38" s="135">
        <f>38767.99+163407.98</f>
        <v>202175.97</v>
      </c>
      <c r="O38" s="130" t="s">
        <v>181</v>
      </c>
    </row>
    <row r="39" spans="1:15" s="22" customFormat="1" ht="15" customHeight="1" x14ac:dyDescent="0.25">
      <c r="A39" s="190" t="s">
        <v>83</v>
      </c>
      <c r="B39" s="191"/>
      <c r="C39" s="191"/>
      <c r="D39" s="191"/>
      <c r="E39" s="191"/>
      <c r="F39" s="191"/>
      <c r="G39" s="41"/>
      <c r="H39" s="42"/>
      <c r="I39" s="33" t="s">
        <v>84</v>
      </c>
      <c r="J39" s="34">
        <v>1064369.3</v>
      </c>
      <c r="K39" s="109">
        <v>42842</v>
      </c>
      <c r="L39" s="109">
        <v>42972</v>
      </c>
      <c r="M39" s="20">
        <f t="shared" si="0"/>
        <v>0.96259352839282375</v>
      </c>
      <c r="N39" s="135">
        <f>470330.87+367947.1+104863.74+77414.89+3998.4</f>
        <v>1024555</v>
      </c>
      <c r="O39" s="130" t="s">
        <v>181</v>
      </c>
    </row>
    <row r="40" spans="1:15" s="22" customFormat="1" ht="15" customHeight="1" x14ac:dyDescent="0.25">
      <c r="A40" s="190" t="s">
        <v>85</v>
      </c>
      <c r="B40" s="191"/>
      <c r="C40" s="191"/>
      <c r="D40" s="191"/>
      <c r="E40" s="191"/>
      <c r="F40" s="191"/>
      <c r="G40" s="41"/>
      <c r="H40" s="42"/>
      <c r="I40" s="33" t="s">
        <v>86</v>
      </c>
      <c r="J40" s="34">
        <v>223652.46</v>
      </c>
      <c r="K40" s="109">
        <v>42845</v>
      </c>
      <c r="L40" s="109">
        <v>42906</v>
      </c>
      <c r="M40" s="20">
        <f t="shared" si="0"/>
        <v>0.97430973931608011</v>
      </c>
      <c r="N40" s="135">
        <f>1636+138050.7+76895+1325.07</f>
        <v>217906.77000000002</v>
      </c>
      <c r="O40" s="130" t="s">
        <v>181</v>
      </c>
    </row>
    <row r="41" spans="1:15" s="22" customFormat="1" ht="15" customHeight="1" x14ac:dyDescent="0.25">
      <c r="A41" s="190" t="s">
        <v>87</v>
      </c>
      <c r="B41" s="191"/>
      <c r="C41" s="191"/>
      <c r="D41" s="191"/>
      <c r="E41" s="191"/>
      <c r="F41" s="191"/>
      <c r="G41" s="41"/>
      <c r="H41" s="42"/>
      <c r="I41" s="33" t="s">
        <v>88</v>
      </c>
      <c r="J41" s="34">
        <v>322320.39</v>
      </c>
      <c r="K41" s="109">
        <v>42837</v>
      </c>
      <c r="L41" s="109">
        <v>42943</v>
      </c>
      <c r="M41" s="20">
        <f t="shared" si="0"/>
        <v>0.57830731713870165</v>
      </c>
      <c r="N41" s="135">
        <f>36701+59574.53+2972.42+86446+706.29</f>
        <v>186400.24000000002</v>
      </c>
      <c r="O41" s="130" t="s">
        <v>181</v>
      </c>
    </row>
    <row r="42" spans="1:15" s="22" customFormat="1" ht="15" customHeight="1" x14ac:dyDescent="0.25">
      <c r="A42" s="190" t="s">
        <v>89</v>
      </c>
      <c r="B42" s="191"/>
      <c r="C42" s="191"/>
      <c r="D42" s="191"/>
      <c r="E42" s="191"/>
      <c r="F42" s="191"/>
      <c r="G42" s="41"/>
      <c r="H42" s="42"/>
      <c r="I42" s="33" t="s">
        <v>90</v>
      </c>
      <c r="J42" s="34">
        <v>92762.559999999998</v>
      </c>
      <c r="K42" s="109">
        <v>42836</v>
      </c>
      <c r="L42" s="109">
        <v>42879</v>
      </c>
      <c r="M42" s="20">
        <f t="shared" si="0"/>
        <v>0.99195537509960929</v>
      </c>
      <c r="N42" s="135">
        <f>28344+63519.32+153</f>
        <v>92016.320000000007</v>
      </c>
      <c r="O42" s="130" t="s">
        <v>181</v>
      </c>
    </row>
    <row r="43" spans="1:15" s="22" customFormat="1" ht="15" customHeight="1" x14ac:dyDescent="0.25">
      <c r="A43" s="190" t="s">
        <v>91</v>
      </c>
      <c r="B43" s="191"/>
      <c r="C43" s="191"/>
      <c r="D43" s="191"/>
      <c r="E43" s="191"/>
      <c r="F43" s="191"/>
      <c r="G43" s="41"/>
      <c r="H43" s="42"/>
      <c r="I43" s="33" t="s">
        <v>92</v>
      </c>
      <c r="J43" s="34">
        <v>1000000</v>
      </c>
      <c r="K43" s="109"/>
      <c r="L43" s="109"/>
      <c r="M43" s="20">
        <f t="shared" si="0"/>
        <v>0</v>
      </c>
      <c r="N43" s="135"/>
      <c r="O43" s="131" t="s">
        <v>190</v>
      </c>
    </row>
    <row r="44" spans="1:15" s="22" customFormat="1" ht="15" customHeight="1" x14ac:dyDescent="0.25">
      <c r="A44" s="190" t="s">
        <v>93</v>
      </c>
      <c r="B44" s="191"/>
      <c r="C44" s="191"/>
      <c r="D44" s="191"/>
      <c r="E44" s="191"/>
      <c r="F44" s="191"/>
      <c r="G44" s="41"/>
      <c r="H44" s="42"/>
      <c r="I44" s="33" t="s">
        <v>90</v>
      </c>
      <c r="J44" s="34">
        <v>267931.28000000003</v>
      </c>
      <c r="K44" s="109">
        <v>42857</v>
      </c>
      <c r="L44" s="109">
        <v>42872</v>
      </c>
      <c r="M44" s="20">
        <f t="shared" si="0"/>
        <v>0.99983144931789958</v>
      </c>
      <c r="N44" s="135">
        <f>80331.27+87529.06+51395.12+48630.67</f>
        <v>267886.12</v>
      </c>
      <c r="O44" s="130" t="s">
        <v>181</v>
      </c>
    </row>
    <row r="45" spans="1:15" s="22" customFormat="1" ht="15" customHeight="1" x14ac:dyDescent="0.25">
      <c r="A45" s="190" t="s">
        <v>101</v>
      </c>
      <c r="B45" s="191"/>
      <c r="C45" s="191"/>
      <c r="D45" s="191"/>
      <c r="E45" s="191"/>
      <c r="F45" s="191"/>
      <c r="G45" s="41"/>
      <c r="H45" s="42"/>
      <c r="I45" s="33" t="s">
        <v>90</v>
      </c>
      <c r="J45" s="34">
        <v>1222342.98</v>
      </c>
      <c r="K45" s="109">
        <v>42842</v>
      </c>
      <c r="L45" s="109">
        <v>42962</v>
      </c>
      <c r="M45" s="20">
        <f t="shared" si="0"/>
        <v>0.55436145262600511</v>
      </c>
      <c r="N45" s="135">
        <f>64569.27+212610.35+156810.81+140698.43+102930.97</f>
        <v>677619.83</v>
      </c>
      <c r="O45" s="130" t="s">
        <v>182</v>
      </c>
    </row>
    <row r="46" spans="1:15" s="22" customFormat="1" ht="15" customHeight="1" x14ac:dyDescent="0.25">
      <c r="A46" s="190" t="s">
        <v>94</v>
      </c>
      <c r="B46" s="191"/>
      <c r="C46" s="191"/>
      <c r="D46" s="191"/>
      <c r="E46" s="191"/>
      <c r="F46" s="191"/>
      <c r="G46" s="41"/>
      <c r="H46" s="42"/>
      <c r="I46" s="33" t="s">
        <v>90</v>
      </c>
      <c r="J46" s="34">
        <v>576798.43999999994</v>
      </c>
      <c r="K46" s="109">
        <v>42837</v>
      </c>
      <c r="L46" s="109">
        <v>42908</v>
      </c>
      <c r="M46" s="20">
        <f t="shared" si="0"/>
        <v>0.73127624963756843</v>
      </c>
      <c r="N46" s="135">
        <f>944+132689.29+178548.44+109500+117.27</f>
        <v>421799</v>
      </c>
      <c r="O46" s="130" t="s">
        <v>181</v>
      </c>
    </row>
    <row r="47" spans="1:15" s="22" customFormat="1" ht="15" customHeight="1" x14ac:dyDescent="0.25">
      <c r="A47" s="190" t="s">
        <v>95</v>
      </c>
      <c r="B47" s="191"/>
      <c r="C47" s="191"/>
      <c r="D47" s="191"/>
      <c r="E47" s="191"/>
      <c r="F47" s="191"/>
      <c r="G47" s="41"/>
      <c r="H47" s="42"/>
      <c r="I47" s="33" t="s">
        <v>96</v>
      </c>
      <c r="J47" s="34">
        <v>329035.58</v>
      </c>
      <c r="K47" s="109">
        <v>42842</v>
      </c>
      <c r="L47" s="109">
        <v>42921</v>
      </c>
      <c r="M47" s="20">
        <f t="shared" si="0"/>
        <v>0.95323678977209692</v>
      </c>
      <c r="N47" s="135">
        <f>23397+217401.43+14474.5+944+57431.89</f>
        <v>313648.82</v>
      </c>
      <c r="O47" s="130" t="s">
        <v>181</v>
      </c>
    </row>
    <row r="48" spans="1:15" s="22" customFormat="1" ht="15" customHeight="1" x14ac:dyDescent="0.25">
      <c r="A48" s="190" t="s">
        <v>97</v>
      </c>
      <c r="B48" s="191"/>
      <c r="C48" s="191"/>
      <c r="D48" s="191"/>
      <c r="E48" s="191"/>
      <c r="F48" s="191"/>
      <c r="G48" s="41"/>
      <c r="H48" s="42"/>
      <c r="I48" s="33" t="s">
        <v>98</v>
      </c>
      <c r="J48" s="34">
        <v>212862.75</v>
      </c>
      <c r="K48" s="109">
        <v>42871</v>
      </c>
      <c r="L48" s="109">
        <v>42880</v>
      </c>
      <c r="M48" s="20">
        <f t="shared" si="0"/>
        <v>0.40080699887603627</v>
      </c>
      <c r="N48" s="135">
        <f>58179.88+24342.32+1421.48+1373.2</f>
        <v>85316.87999999999</v>
      </c>
      <c r="O48" s="130" t="s">
        <v>181</v>
      </c>
    </row>
    <row r="49" spans="1:15" s="22" customFormat="1" ht="15" customHeight="1" x14ac:dyDescent="0.25">
      <c r="A49" s="190" t="s">
        <v>99</v>
      </c>
      <c r="B49" s="191"/>
      <c r="C49" s="191"/>
      <c r="D49" s="191"/>
      <c r="E49" s="191"/>
      <c r="F49" s="191"/>
      <c r="G49" s="41"/>
      <c r="H49" s="42"/>
      <c r="I49" s="33" t="s">
        <v>100</v>
      </c>
      <c r="J49" s="34">
        <v>81822.86</v>
      </c>
      <c r="K49" s="109">
        <v>42858</v>
      </c>
      <c r="L49" s="109">
        <v>42893</v>
      </c>
      <c r="M49" s="20">
        <f t="shared" si="0"/>
        <v>0.71440695179806724</v>
      </c>
      <c r="N49" s="135">
        <f>23229.16+35225.66</f>
        <v>58454.820000000007</v>
      </c>
      <c r="O49" s="130" t="s">
        <v>180</v>
      </c>
    </row>
    <row r="50" spans="1:15" s="22" customFormat="1" ht="15" customHeight="1" x14ac:dyDescent="0.25">
      <c r="A50" s="190" t="s">
        <v>102</v>
      </c>
      <c r="B50" s="191"/>
      <c r="C50" s="191"/>
      <c r="D50" s="191"/>
      <c r="E50" s="191"/>
      <c r="F50" s="191"/>
      <c r="G50" s="41"/>
      <c r="H50" s="42"/>
      <c r="I50" s="33" t="s">
        <v>103</v>
      </c>
      <c r="J50" s="34">
        <v>200030.48</v>
      </c>
      <c r="K50" s="109">
        <v>42842</v>
      </c>
      <c r="L50" s="109">
        <v>42906</v>
      </c>
      <c r="M50" s="20">
        <f t="shared" si="0"/>
        <v>0.63253460172669684</v>
      </c>
      <c r="N50" s="135">
        <f>39034.2+53722+33770</f>
        <v>126526.2</v>
      </c>
      <c r="O50" s="130" t="s">
        <v>183</v>
      </c>
    </row>
    <row r="51" spans="1:15" s="22" customFormat="1" ht="15" customHeight="1" x14ac:dyDescent="0.25">
      <c r="A51" s="190" t="s">
        <v>105</v>
      </c>
      <c r="B51" s="191"/>
      <c r="C51" s="191"/>
      <c r="D51" s="191"/>
      <c r="E51" s="191"/>
      <c r="F51" s="191"/>
      <c r="G51" s="41"/>
      <c r="H51" s="42"/>
      <c r="I51" s="33" t="s">
        <v>104</v>
      </c>
      <c r="J51" s="34">
        <v>546787</v>
      </c>
      <c r="K51" s="109">
        <v>42899</v>
      </c>
      <c r="L51" s="109">
        <v>43014</v>
      </c>
      <c r="M51" s="20">
        <f t="shared" si="0"/>
        <v>0.35964777875114079</v>
      </c>
      <c r="N51" s="135">
        <f>101624.05+58813.58+22906.9+13306.2</f>
        <v>196650.73</v>
      </c>
      <c r="O51" s="130" t="s">
        <v>177</v>
      </c>
    </row>
    <row r="52" spans="1:15" s="22" customFormat="1" ht="15" customHeight="1" x14ac:dyDescent="0.25">
      <c r="A52" s="190" t="s">
        <v>106</v>
      </c>
      <c r="B52" s="191"/>
      <c r="C52" s="191"/>
      <c r="D52" s="191"/>
      <c r="E52" s="191"/>
      <c r="F52" s="191"/>
      <c r="G52" s="41"/>
      <c r="H52" s="42"/>
      <c r="I52" s="33" t="s">
        <v>107</v>
      </c>
      <c r="J52" s="34">
        <v>226099.1</v>
      </c>
      <c r="K52" s="109">
        <v>42863</v>
      </c>
      <c r="L52" s="109">
        <v>42934</v>
      </c>
      <c r="M52" s="20">
        <f t="shared" si="0"/>
        <v>0.55505032970056045</v>
      </c>
      <c r="N52" s="135">
        <f>91666.2+17882.98+9125+6822.2</f>
        <v>125496.37999999999</v>
      </c>
      <c r="O52" s="130" t="s">
        <v>182</v>
      </c>
    </row>
    <row r="53" spans="1:15" s="22" customFormat="1" ht="15" customHeight="1" x14ac:dyDescent="0.25">
      <c r="A53" s="190" t="s">
        <v>108</v>
      </c>
      <c r="B53" s="191"/>
      <c r="C53" s="191"/>
      <c r="D53" s="191"/>
      <c r="E53" s="191"/>
      <c r="F53" s="191"/>
      <c r="G53" s="41"/>
      <c r="H53" s="42"/>
      <c r="I53" s="33" t="s">
        <v>78</v>
      </c>
      <c r="J53" s="34">
        <v>137322.6</v>
      </c>
      <c r="K53" s="109">
        <v>42842</v>
      </c>
      <c r="L53" s="109">
        <v>42901</v>
      </c>
      <c r="M53" s="20">
        <f t="shared" si="0"/>
        <v>0.98164832300000138</v>
      </c>
      <c r="N53" s="135">
        <f>14273+92854.5+10653+17022</f>
        <v>134802.5</v>
      </c>
      <c r="O53" s="130" t="s">
        <v>181</v>
      </c>
    </row>
    <row r="54" spans="1:15" s="22" customFormat="1" ht="15" customHeight="1" x14ac:dyDescent="0.25">
      <c r="A54" s="190" t="s">
        <v>109</v>
      </c>
      <c r="B54" s="191"/>
      <c r="C54" s="191"/>
      <c r="D54" s="191"/>
      <c r="E54" s="191"/>
      <c r="F54" s="191"/>
      <c r="G54" s="41"/>
      <c r="H54" s="42"/>
      <c r="I54" s="33" t="s">
        <v>110</v>
      </c>
      <c r="J54" s="34">
        <v>77881.34</v>
      </c>
      <c r="K54" s="109">
        <v>42884</v>
      </c>
      <c r="L54" s="109">
        <v>42899</v>
      </c>
      <c r="M54" s="20">
        <f t="shared" si="0"/>
        <v>0.94370050643710046</v>
      </c>
      <c r="N54" s="135">
        <f>28365+45131.66</f>
        <v>73496.66</v>
      </c>
      <c r="O54" s="192" t="s">
        <v>181</v>
      </c>
    </row>
    <row r="55" spans="1:15" s="22" customFormat="1" ht="15" customHeight="1" x14ac:dyDescent="0.25">
      <c r="A55" s="190" t="s">
        <v>111</v>
      </c>
      <c r="B55" s="191"/>
      <c r="C55" s="191"/>
      <c r="D55" s="191"/>
      <c r="E55" s="191"/>
      <c r="F55" s="191"/>
      <c r="G55" s="41"/>
      <c r="H55" s="42"/>
      <c r="I55" s="33" t="s">
        <v>112</v>
      </c>
      <c r="J55" s="34">
        <v>420064.72</v>
      </c>
      <c r="K55" s="109">
        <v>42842</v>
      </c>
      <c r="L55" s="109">
        <v>42947</v>
      </c>
      <c r="M55" s="20">
        <f t="shared" si="0"/>
        <v>0.97256056162012361</v>
      </c>
      <c r="N55" s="135">
        <f>204386.43+180876.28+23275.67</f>
        <v>408538.37999999995</v>
      </c>
      <c r="O55" s="130" t="s">
        <v>181</v>
      </c>
    </row>
    <row r="56" spans="1:15" s="22" customFormat="1" ht="15" customHeight="1" x14ac:dyDescent="0.25">
      <c r="A56" s="190" t="s">
        <v>113</v>
      </c>
      <c r="B56" s="191"/>
      <c r="C56" s="191"/>
      <c r="D56" s="191"/>
      <c r="E56" s="191"/>
      <c r="F56" s="191"/>
      <c r="G56" s="41"/>
      <c r="H56" s="42"/>
      <c r="I56" s="33" t="s">
        <v>114</v>
      </c>
      <c r="J56" s="34">
        <v>650000</v>
      </c>
      <c r="K56" s="109"/>
      <c r="L56" s="109"/>
      <c r="M56" s="20">
        <f t="shared" si="0"/>
        <v>1</v>
      </c>
      <c r="N56" s="135">
        <v>650000</v>
      </c>
      <c r="O56" s="131" t="s">
        <v>190</v>
      </c>
    </row>
    <row r="57" spans="1:15" s="22" customFormat="1" ht="15" customHeight="1" x14ac:dyDescent="0.25">
      <c r="A57" s="190" t="s">
        <v>115</v>
      </c>
      <c r="B57" s="191"/>
      <c r="C57" s="191"/>
      <c r="D57" s="191"/>
      <c r="E57" s="191"/>
      <c r="F57" s="191"/>
      <c r="G57" s="41"/>
      <c r="H57" s="42"/>
      <c r="I57" s="33" t="s">
        <v>116</v>
      </c>
      <c r="J57" s="34">
        <v>4700000</v>
      </c>
      <c r="K57" s="109"/>
      <c r="L57" s="109"/>
      <c r="M57" s="20">
        <f t="shared" si="0"/>
        <v>0.95744680851063835</v>
      </c>
      <c r="N57" s="135">
        <v>4500000</v>
      </c>
      <c r="O57" s="131" t="s">
        <v>190</v>
      </c>
    </row>
    <row r="58" spans="1:15" s="22" customFormat="1" ht="15" customHeight="1" x14ac:dyDescent="0.25">
      <c r="A58" s="217"/>
      <c r="B58" s="218"/>
      <c r="C58" s="218"/>
      <c r="D58" s="218"/>
      <c r="E58" s="218"/>
      <c r="F58" s="218"/>
      <c r="G58" s="41"/>
      <c r="H58" s="42"/>
      <c r="I58" s="33"/>
      <c r="J58" s="34"/>
      <c r="K58" s="109"/>
      <c r="L58" s="109"/>
      <c r="M58" s="20"/>
      <c r="N58" s="135"/>
      <c r="O58" s="131"/>
    </row>
    <row r="59" spans="1:15" s="22" customFormat="1" ht="15" customHeight="1" x14ac:dyDescent="0.25">
      <c r="A59" s="226" t="s">
        <v>173</v>
      </c>
      <c r="B59" s="218"/>
      <c r="C59" s="218"/>
      <c r="D59" s="218"/>
      <c r="E59" s="218"/>
      <c r="F59" s="218"/>
      <c r="G59" s="41"/>
      <c r="H59" s="42"/>
      <c r="I59" s="33"/>
      <c r="J59" s="34"/>
      <c r="K59" s="109"/>
      <c r="L59" s="109"/>
      <c r="M59" s="20"/>
      <c r="N59" s="135"/>
      <c r="O59" s="131"/>
    </row>
    <row r="60" spans="1:15" s="22" customFormat="1" ht="15" customHeight="1" x14ac:dyDescent="0.25">
      <c r="A60" s="190" t="s">
        <v>117</v>
      </c>
      <c r="B60" s="191"/>
      <c r="C60" s="191"/>
      <c r="D60" s="191"/>
      <c r="E60" s="191"/>
      <c r="F60" s="191"/>
      <c r="G60" s="41"/>
      <c r="H60" s="42"/>
      <c r="I60" s="33" t="s">
        <v>92</v>
      </c>
      <c r="J60" s="34">
        <v>1358700</v>
      </c>
      <c r="K60" s="109"/>
      <c r="L60" s="109"/>
      <c r="M60" s="20">
        <f t="shared" si="0"/>
        <v>0</v>
      </c>
      <c r="N60" s="135"/>
      <c r="O60" s="131" t="s">
        <v>187</v>
      </c>
    </row>
    <row r="61" spans="1:15" s="22" customFormat="1" ht="15" customHeight="1" x14ac:dyDescent="0.25">
      <c r="A61" s="190" t="s">
        <v>118</v>
      </c>
      <c r="B61" s="191"/>
      <c r="C61" s="191"/>
      <c r="D61" s="191"/>
      <c r="E61" s="191"/>
      <c r="F61" s="191"/>
      <c r="G61" s="41"/>
      <c r="H61" s="42"/>
      <c r="I61" s="33" t="s">
        <v>92</v>
      </c>
      <c r="J61" s="34">
        <v>565505</v>
      </c>
      <c r="K61" s="109"/>
      <c r="L61" s="109"/>
      <c r="M61" s="20">
        <f t="shared" si="0"/>
        <v>0</v>
      </c>
      <c r="N61" s="135"/>
      <c r="O61" s="131" t="s">
        <v>187</v>
      </c>
    </row>
    <row r="62" spans="1:15" s="22" customFormat="1" ht="15" customHeight="1" x14ac:dyDescent="0.25">
      <c r="A62" s="190" t="s">
        <v>118</v>
      </c>
      <c r="B62" s="191"/>
      <c r="C62" s="191"/>
      <c r="D62" s="191"/>
      <c r="E62" s="191"/>
      <c r="F62" s="191"/>
      <c r="G62" s="41"/>
      <c r="H62" s="42"/>
      <c r="I62" s="33" t="s">
        <v>119</v>
      </c>
      <c r="J62" s="34">
        <v>521906</v>
      </c>
      <c r="K62" s="109"/>
      <c r="L62" s="109"/>
      <c r="M62" s="20">
        <f t="shared" si="0"/>
        <v>0</v>
      </c>
      <c r="N62" s="135"/>
      <c r="O62" s="131" t="s">
        <v>187</v>
      </c>
    </row>
    <row r="63" spans="1:15" s="22" customFormat="1" ht="15" customHeight="1" x14ac:dyDescent="0.25">
      <c r="A63" s="190" t="s">
        <v>118</v>
      </c>
      <c r="B63" s="191"/>
      <c r="C63" s="191"/>
      <c r="D63" s="191"/>
      <c r="E63" s="191"/>
      <c r="F63" s="191"/>
      <c r="G63" s="41"/>
      <c r="H63" s="42"/>
      <c r="I63" s="33" t="s">
        <v>120</v>
      </c>
      <c r="J63" s="34">
        <v>521902</v>
      </c>
      <c r="K63" s="109"/>
      <c r="L63" s="109"/>
      <c r="M63" s="20">
        <f t="shared" si="0"/>
        <v>0</v>
      </c>
      <c r="N63" s="135"/>
      <c r="O63" s="131" t="s">
        <v>187</v>
      </c>
    </row>
    <row r="64" spans="1:15" s="22" customFormat="1" ht="15" customHeight="1" x14ac:dyDescent="0.25">
      <c r="A64" s="190" t="s">
        <v>118</v>
      </c>
      <c r="B64" s="191"/>
      <c r="C64" s="191"/>
      <c r="D64" s="191"/>
      <c r="E64" s="191"/>
      <c r="F64" s="191"/>
      <c r="G64" s="41"/>
      <c r="H64" s="42"/>
      <c r="I64" s="33" t="s">
        <v>121</v>
      </c>
      <c r="J64" s="34">
        <v>542264</v>
      </c>
      <c r="K64" s="109"/>
      <c r="L64" s="109"/>
      <c r="M64" s="20">
        <f t="shared" si="0"/>
        <v>0</v>
      </c>
      <c r="N64" s="135"/>
      <c r="O64" s="131" t="s">
        <v>187</v>
      </c>
    </row>
    <row r="65" spans="1:15" s="22" customFormat="1" ht="15" customHeight="1" x14ac:dyDescent="0.25">
      <c r="A65" s="190" t="s">
        <v>118</v>
      </c>
      <c r="B65" s="191"/>
      <c r="C65" s="191"/>
      <c r="D65" s="191"/>
      <c r="E65" s="191"/>
      <c r="F65" s="191"/>
      <c r="G65" s="41"/>
      <c r="H65" s="42"/>
      <c r="I65" s="33" t="s">
        <v>122</v>
      </c>
      <c r="J65" s="34">
        <v>543034</v>
      </c>
      <c r="K65" s="109"/>
      <c r="L65" s="109"/>
      <c r="M65" s="20">
        <f t="shared" si="0"/>
        <v>0</v>
      </c>
      <c r="N65" s="135"/>
      <c r="O65" s="131" t="s">
        <v>187</v>
      </c>
    </row>
    <row r="66" spans="1:15" s="22" customFormat="1" ht="15" customHeight="1" x14ac:dyDescent="0.25">
      <c r="A66" s="190" t="s">
        <v>123</v>
      </c>
      <c r="B66" s="191"/>
      <c r="C66" s="191"/>
      <c r="D66" s="191"/>
      <c r="E66" s="191"/>
      <c r="F66" s="191"/>
      <c r="G66" s="41"/>
      <c r="H66" s="42"/>
      <c r="I66" s="33" t="s">
        <v>124</v>
      </c>
      <c r="J66" s="34">
        <v>350000</v>
      </c>
      <c r="K66" s="109"/>
      <c r="L66" s="109"/>
      <c r="M66" s="20">
        <f t="shared" si="0"/>
        <v>0</v>
      </c>
      <c r="N66" s="135"/>
      <c r="O66" s="131" t="s">
        <v>187</v>
      </c>
    </row>
    <row r="67" spans="1:15" s="22" customFormat="1" ht="15" customHeight="1" x14ac:dyDescent="0.25">
      <c r="A67" s="193" t="s">
        <v>167</v>
      </c>
      <c r="B67" s="191"/>
      <c r="C67" s="191"/>
      <c r="D67" s="191"/>
      <c r="E67" s="191"/>
      <c r="F67" s="191"/>
      <c r="G67" s="41"/>
      <c r="H67" s="42"/>
      <c r="I67" s="33" t="s">
        <v>125</v>
      </c>
      <c r="J67" s="34">
        <v>350000</v>
      </c>
      <c r="K67" s="109"/>
      <c r="L67" s="109"/>
      <c r="M67" s="20">
        <f t="shared" si="0"/>
        <v>0</v>
      </c>
      <c r="N67" s="135"/>
      <c r="O67" s="131" t="s">
        <v>187</v>
      </c>
    </row>
    <row r="68" spans="1:15" s="22" customFormat="1" ht="15" customHeight="1" x14ac:dyDescent="0.25">
      <c r="A68" s="190" t="s">
        <v>126</v>
      </c>
      <c r="B68" s="191"/>
      <c r="C68" s="191"/>
      <c r="D68" s="191"/>
      <c r="E68" s="191"/>
      <c r="F68" s="191"/>
      <c r="G68" s="41"/>
      <c r="H68" s="42"/>
      <c r="I68" s="33" t="s">
        <v>127</v>
      </c>
      <c r="J68" s="34">
        <v>350000</v>
      </c>
      <c r="K68" s="109"/>
      <c r="L68" s="109"/>
      <c r="M68" s="20">
        <f t="shared" si="0"/>
        <v>0</v>
      </c>
      <c r="N68" s="135"/>
      <c r="O68" s="131" t="s">
        <v>187</v>
      </c>
    </row>
    <row r="69" spans="1:15" s="22" customFormat="1" ht="15" customHeight="1" x14ac:dyDescent="0.25">
      <c r="A69" s="190" t="s">
        <v>128</v>
      </c>
      <c r="B69" s="191"/>
      <c r="C69" s="191"/>
      <c r="D69" s="191"/>
      <c r="E69" s="191"/>
      <c r="F69" s="191"/>
      <c r="G69" s="41"/>
      <c r="H69" s="42"/>
      <c r="I69" s="33" t="s">
        <v>129</v>
      </c>
      <c r="J69" s="34">
        <v>350000</v>
      </c>
      <c r="K69" s="109"/>
      <c r="L69" s="109"/>
      <c r="M69" s="20">
        <f t="shared" si="0"/>
        <v>0</v>
      </c>
      <c r="N69" s="135"/>
      <c r="O69" s="131" t="s">
        <v>187</v>
      </c>
    </row>
    <row r="70" spans="1:15" s="22" customFormat="1" ht="15" customHeight="1" x14ac:dyDescent="0.25">
      <c r="A70" s="190" t="s">
        <v>130</v>
      </c>
      <c r="B70" s="191"/>
      <c r="C70" s="191"/>
      <c r="D70" s="191"/>
      <c r="E70" s="191"/>
      <c r="F70" s="191"/>
      <c r="G70" s="41"/>
      <c r="H70" s="42"/>
      <c r="I70" s="33" t="s">
        <v>131</v>
      </c>
      <c r="J70" s="34">
        <v>350000</v>
      </c>
      <c r="K70" s="109"/>
      <c r="L70" s="109"/>
      <c r="M70" s="20">
        <f t="shared" si="0"/>
        <v>0</v>
      </c>
      <c r="N70" s="135"/>
      <c r="O70" s="131" t="s">
        <v>187</v>
      </c>
    </row>
    <row r="71" spans="1:15" s="22" customFormat="1" ht="15" customHeight="1" x14ac:dyDescent="0.25">
      <c r="A71" s="190" t="s">
        <v>132</v>
      </c>
      <c r="B71" s="191"/>
      <c r="C71" s="191"/>
      <c r="D71" s="191"/>
      <c r="E71" s="191"/>
      <c r="F71" s="191"/>
      <c r="G71" s="41"/>
      <c r="H71" s="42"/>
      <c r="I71" s="33" t="s">
        <v>133</v>
      </c>
      <c r="J71" s="34">
        <v>350000</v>
      </c>
      <c r="K71" s="109"/>
      <c r="L71" s="109"/>
      <c r="M71" s="20">
        <f t="shared" si="0"/>
        <v>0</v>
      </c>
      <c r="N71" s="135"/>
      <c r="O71" s="131" t="s">
        <v>187</v>
      </c>
    </row>
    <row r="72" spans="1:15" s="22" customFormat="1" ht="15" customHeight="1" x14ac:dyDescent="0.25">
      <c r="A72" s="190" t="s">
        <v>134</v>
      </c>
      <c r="B72" s="191"/>
      <c r="C72" s="191"/>
      <c r="D72" s="191"/>
      <c r="E72" s="191"/>
      <c r="F72" s="191"/>
      <c r="G72" s="41"/>
      <c r="H72" s="42"/>
      <c r="I72" s="33" t="s">
        <v>46</v>
      </c>
      <c r="J72" s="34">
        <v>350000</v>
      </c>
      <c r="K72" s="109"/>
      <c r="L72" s="109"/>
      <c r="M72" s="20">
        <f t="shared" si="0"/>
        <v>0</v>
      </c>
      <c r="N72" s="135"/>
      <c r="O72" s="131" t="s">
        <v>187</v>
      </c>
    </row>
    <row r="73" spans="1:15" s="22" customFormat="1" ht="15" customHeight="1" x14ac:dyDescent="0.25">
      <c r="A73" s="190" t="s">
        <v>135</v>
      </c>
      <c r="B73" s="191"/>
      <c r="C73" s="191"/>
      <c r="D73" s="191"/>
      <c r="E73" s="191"/>
      <c r="F73" s="191"/>
      <c r="G73" s="41"/>
      <c r="H73" s="42"/>
      <c r="I73" s="33" t="s">
        <v>136</v>
      </c>
      <c r="J73" s="34">
        <v>350000</v>
      </c>
      <c r="K73" s="109"/>
      <c r="L73" s="109"/>
      <c r="M73" s="20">
        <f t="shared" si="0"/>
        <v>0</v>
      </c>
      <c r="N73" s="135"/>
      <c r="O73" s="131" t="s">
        <v>187</v>
      </c>
    </row>
    <row r="74" spans="1:15" s="22" customFormat="1" ht="15" customHeight="1" x14ac:dyDescent="0.25">
      <c r="A74" s="190" t="s">
        <v>137</v>
      </c>
      <c r="B74" s="191"/>
      <c r="C74" s="191"/>
      <c r="D74" s="191"/>
      <c r="E74" s="191"/>
      <c r="F74" s="191"/>
      <c r="G74" s="41"/>
      <c r="H74" s="42"/>
      <c r="I74" s="33" t="s">
        <v>36</v>
      </c>
      <c r="J74" s="34">
        <v>338000</v>
      </c>
      <c r="K74" s="109"/>
      <c r="L74" s="109"/>
      <c r="M74" s="20">
        <f t="shared" si="0"/>
        <v>1</v>
      </c>
      <c r="N74" s="135">
        <v>338000</v>
      </c>
      <c r="O74" s="131" t="s">
        <v>185</v>
      </c>
    </row>
    <row r="75" spans="1:15" s="22" customFormat="1" ht="15" customHeight="1" x14ac:dyDescent="0.25">
      <c r="A75" s="190" t="s">
        <v>138</v>
      </c>
      <c r="B75" s="191"/>
      <c r="C75" s="191"/>
      <c r="D75" s="191"/>
      <c r="E75" s="191"/>
      <c r="F75" s="191"/>
      <c r="G75" s="41"/>
      <c r="H75" s="42"/>
      <c r="I75" s="33" t="s">
        <v>139</v>
      </c>
      <c r="J75" s="34">
        <v>3000000</v>
      </c>
      <c r="K75" s="109"/>
      <c r="L75" s="109"/>
      <c r="M75" s="20">
        <f t="shared" si="0"/>
        <v>0</v>
      </c>
      <c r="N75" s="135"/>
      <c r="O75" s="131" t="s">
        <v>187</v>
      </c>
    </row>
    <row r="76" spans="1:15" s="22" customFormat="1" ht="15" customHeight="1" x14ac:dyDescent="0.25">
      <c r="A76" s="190" t="s">
        <v>140</v>
      </c>
      <c r="B76" s="191"/>
      <c r="C76" s="191"/>
      <c r="D76" s="191"/>
      <c r="E76" s="191"/>
      <c r="F76" s="191"/>
      <c r="G76" s="41"/>
      <c r="H76" s="42"/>
      <c r="I76" s="33" t="s">
        <v>141</v>
      </c>
      <c r="J76" s="34">
        <v>5000000</v>
      </c>
      <c r="K76" s="109"/>
      <c r="L76" s="109"/>
      <c r="M76" s="20">
        <f t="shared" si="0"/>
        <v>0</v>
      </c>
      <c r="N76" s="135"/>
      <c r="O76" s="131" t="s">
        <v>187</v>
      </c>
    </row>
    <row r="77" spans="1:15" s="22" customFormat="1" ht="15" customHeight="1" x14ac:dyDescent="0.25">
      <c r="A77" s="190" t="s">
        <v>142</v>
      </c>
      <c r="B77" s="191"/>
      <c r="C77" s="191"/>
      <c r="D77" s="191"/>
      <c r="E77" s="191"/>
      <c r="F77" s="191"/>
      <c r="G77" s="41"/>
      <c r="H77" s="42"/>
      <c r="I77" s="33"/>
      <c r="J77" s="34">
        <v>2480689</v>
      </c>
      <c r="K77" s="109"/>
      <c r="L77" s="109"/>
      <c r="M77" s="20">
        <f t="shared" si="0"/>
        <v>0</v>
      </c>
      <c r="N77" s="135"/>
      <c r="O77" s="131" t="s">
        <v>187</v>
      </c>
    </row>
    <row r="78" spans="1:15" s="22" customFormat="1" ht="15" customHeight="1" x14ac:dyDescent="0.25">
      <c r="A78" s="190" t="s">
        <v>143</v>
      </c>
      <c r="B78" s="191"/>
      <c r="C78" s="191"/>
      <c r="D78" s="191"/>
      <c r="E78" s="191"/>
      <c r="F78" s="191"/>
      <c r="G78" s="41"/>
      <c r="H78" s="42"/>
      <c r="I78" s="33" t="s">
        <v>145</v>
      </c>
      <c r="J78" s="34">
        <v>220000</v>
      </c>
      <c r="K78" s="109"/>
      <c r="L78" s="109"/>
      <c r="M78" s="20">
        <f t="shared" si="0"/>
        <v>0</v>
      </c>
      <c r="N78" s="135"/>
      <c r="O78" s="130" t="s">
        <v>184</v>
      </c>
    </row>
    <row r="79" spans="1:15" s="22" customFormat="1" ht="15" customHeight="1" x14ac:dyDescent="0.25">
      <c r="A79" s="190" t="s">
        <v>144</v>
      </c>
      <c r="B79" s="191"/>
      <c r="C79" s="191"/>
      <c r="D79" s="191"/>
      <c r="E79" s="191"/>
      <c r="F79" s="191"/>
      <c r="G79" s="41"/>
      <c r="H79" s="42"/>
      <c r="I79" s="33" t="s">
        <v>146</v>
      </c>
      <c r="J79" s="34">
        <v>160000</v>
      </c>
      <c r="K79" s="109"/>
      <c r="L79" s="109"/>
      <c r="M79" s="20">
        <f t="shared" si="0"/>
        <v>0.64040312499999996</v>
      </c>
      <c r="N79" s="135">
        <f>29338+68485.5+4641</f>
        <v>102464.5</v>
      </c>
      <c r="O79" s="130" t="s">
        <v>186</v>
      </c>
    </row>
    <row r="80" spans="1:15" s="22" customFormat="1" ht="15" customHeight="1" x14ac:dyDescent="0.25">
      <c r="A80" s="190" t="s">
        <v>147</v>
      </c>
      <c r="B80" s="191"/>
      <c r="C80" s="191"/>
      <c r="D80" s="191"/>
      <c r="E80" s="191"/>
      <c r="F80" s="191"/>
      <c r="G80" s="41"/>
      <c r="H80" s="42"/>
      <c r="I80" s="33"/>
      <c r="J80" s="34"/>
      <c r="K80" s="109"/>
      <c r="L80" s="109"/>
      <c r="M80" s="20"/>
      <c r="N80" s="135"/>
      <c r="O80" s="130"/>
    </row>
    <row r="81" spans="1:15" s="22" customFormat="1" ht="15" customHeight="1" x14ac:dyDescent="0.25">
      <c r="A81" s="190" t="s">
        <v>148</v>
      </c>
      <c r="B81" s="191"/>
      <c r="C81" s="191"/>
      <c r="D81" s="191"/>
      <c r="E81" s="191"/>
      <c r="F81" s="191"/>
      <c r="G81" s="41"/>
      <c r="H81" s="42"/>
      <c r="I81" s="33" t="s">
        <v>48</v>
      </c>
      <c r="J81" s="34">
        <v>628053</v>
      </c>
      <c r="K81" s="109"/>
      <c r="L81" s="109"/>
      <c r="M81" s="20">
        <f t="shared" si="0"/>
        <v>0</v>
      </c>
      <c r="N81" s="135"/>
      <c r="O81" s="192" t="s">
        <v>187</v>
      </c>
    </row>
    <row r="82" spans="1:15" s="213" customFormat="1" ht="21" customHeight="1" x14ac:dyDescent="0.2">
      <c r="A82" s="204" t="s">
        <v>149</v>
      </c>
      <c r="B82" s="205"/>
      <c r="C82" s="205"/>
      <c r="D82" s="205"/>
      <c r="E82" s="205"/>
      <c r="F82" s="205"/>
      <c r="G82" s="206"/>
      <c r="H82" s="207"/>
      <c r="I82" s="208" t="s">
        <v>150</v>
      </c>
      <c r="J82" s="209">
        <v>300000</v>
      </c>
      <c r="K82" s="210"/>
      <c r="L82" s="210"/>
      <c r="M82" s="211">
        <f t="shared" ref="M82:M91" si="1">+N82/J82</f>
        <v>0</v>
      </c>
      <c r="N82" s="212"/>
      <c r="O82" s="243" t="s">
        <v>188</v>
      </c>
    </row>
    <row r="83" spans="1:15" s="22" customFormat="1" ht="15" customHeight="1" x14ac:dyDescent="0.25">
      <c r="A83" s="190" t="s">
        <v>151</v>
      </c>
      <c r="B83" s="191"/>
      <c r="C83" s="191"/>
      <c r="D83" s="191"/>
      <c r="E83" s="191"/>
      <c r="F83" s="191"/>
      <c r="G83" s="41"/>
      <c r="H83" s="42"/>
      <c r="I83" s="33" t="s">
        <v>152</v>
      </c>
      <c r="J83" s="34">
        <v>500000</v>
      </c>
      <c r="K83" s="109"/>
      <c r="L83" s="109"/>
      <c r="M83" s="20">
        <f t="shared" si="1"/>
        <v>0</v>
      </c>
      <c r="N83" s="135"/>
      <c r="O83" s="250" t="s">
        <v>192</v>
      </c>
    </row>
    <row r="84" spans="1:15" s="22" customFormat="1" ht="15" customHeight="1" x14ac:dyDescent="0.25">
      <c r="A84" s="190" t="s">
        <v>153</v>
      </c>
      <c r="B84" s="191"/>
      <c r="C84" s="191"/>
      <c r="D84" s="191"/>
      <c r="E84" s="191"/>
      <c r="F84" s="191"/>
      <c r="G84" s="41"/>
      <c r="H84" s="42"/>
      <c r="I84" s="33" t="s">
        <v>154</v>
      </c>
      <c r="J84" s="34">
        <v>500000</v>
      </c>
      <c r="K84" s="109"/>
      <c r="L84" s="109"/>
      <c r="M84" s="20">
        <f t="shared" si="1"/>
        <v>0</v>
      </c>
      <c r="N84" s="135"/>
      <c r="O84" s="192" t="s">
        <v>187</v>
      </c>
    </row>
    <row r="85" spans="1:15" s="22" customFormat="1" ht="15" customHeight="1" x14ac:dyDescent="0.25">
      <c r="A85" s="190" t="s">
        <v>155</v>
      </c>
      <c r="B85" s="191"/>
      <c r="C85" s="191"/>
      <c r="D85" s="191"/>
      <c r="E85" s="191"/>
      <c r="F85" s="191"/>
      <c r="G85" s="41"/>
      <c r="H85" s="42"/>
      <c r="I85" s="33" t="s">
        <v>156</v>
      </c>
      <c r="J85" s="34">
        <v>500000</v>
      </c>
      <c r="K85" s="109"/>
      <c r="L85" s="109"/>
      <c r="M85" s="20">
        <f t="shared" si="1"/>
        <v>0</v>
      </c>
      <c r="N85" s="135"/>
      <c r="O85" s="192" t="s">
        <v>189</v>
      </c>
    </row>
    <row r="86" spans="1:15" s="22" customFormat="1" ht="15" customHeight="1" x14ac:dyDescent="0.25">
      <c r="A86" s="190" t="s">
        <v>157</v>
      </c>
      <c r="B86" s="191"/>
      <c r="C86" s="191"/>
      <c r="D86" s="191"/>
      <c r="E86" s="191"/>
      <c r="F86" s="191"/>
      <c r="G86" s="41"/>
      <c r="H86" s="42"/>
      <c r="I86" s="33" t="s">
        <v>158</v>
      </c>
      <c r="J86" s="34">
        <v>1000000</v>
      </c>
      <c r="K86" s="109"/>
      <c r="L86" s="109"/>
      <c r="M86" s="20">
        <f t="shared" si="1"/>
        <v>0.375</v>
      </c>
      <c r="N86" s="135">
        <v>375000</v>
      </c>
      <c r="O86" s="192" t="s">
        <v>187</v>
      </c>
    </row>
    <row r="87" spans="1:15" s="22" customFormat="1" ht="15" customHeight="1" x14ac:dyDescent="0.25">
      <c r="A87" s="190" t="s">
        <v>159</v>
      </c>
      <c r="B87" s="191"/>
      <c r="C87" s="191"/>
      <c r="D87" s="191"/>
      <c r="E87" s="191"/>
      <c r="F87" s="191"/>
      <c r="G87" s="41"/>
      <c r="H87" s="42"/>
      <c r="I87" s="33" t="s">
        <v>160</v>
      </c>
      <c r="J87" s="34">
        <v>1885193</v>
      </c>
      <c r="K87" s="109"/>
      <c r="L87" s="109"/>
      <c r="M87" s="20">
        <f t="shared" si="1"/>
        <v>2.8175778289013378E-2</v>
      </c>
      <c r="N87" s="135">
        <v>53116.78</v>
      </c>
      <c r="O87" s="192" t="s">
        <v>187</v>
      </c>
    </row>
    <row r="88" spans="1:15" s="22" customFormat="1" ht="15" customHeight="1" x14ac:dyDescent="0.25">
      <c r="A88" s="190" t="s">
        <v>161</v>
      </c>
      <c r="B88" s="191"/>
      <c r="C88" s="191"/>
      <c r="D88" s="191"/>
      <c r="E88" s="191"/>
      <c r="F88" s="191"/>
      <c r="G88" s="41"/>
      <c r="H88" s="42"/>
      <c r="I88" s="33" t="s">
        <v>162</v>
      </c>
      <c r="J88" s="34">
        <v>1000000</v>
      </c>
      <c r="K88" s="109"/>
      <c r="L88" s="109"/>
      <c r="M88" s="20">
        <f t="shared" si="1"/>
        <v>0.25104156</v>
      </c>
      <c r="N88" s="135">
        <f>178889.84+72151.72</f>
        <v>251041.56</v>
      </c>
      <c r="O88" s="250" t="s">
        <v>192</v>
      </c>
    </row>
    <row r="89" spans="1:15" s="22" customFormat="1" ht="15" customHeight="1" x14ac:dyDescent="0.25">
      <c r="A89" s="190" t="s">
        <v>163</v>
      </c>
      <c r="B89" s="191"/>
      <c r="C89" s="191"/>
      <c r="D89" s="191"/>
      <c r="E89" s="191"/>
      <c r="F89" s="191"/>
      <c r="G89" s="41"/>
      <c r="H89" s="42"/>
      <c r="I89" s="33" t="s">
        <v>164</v>
      </c>
      <c r="J89" s="34">
        <v>790000</v>
      </c>
      <c r="K89" s="109"/>
      <c r="L89" s="109"/>
      <c r="M89" s="20">
        <f t="shared" si="1"/>
        <v>0</v>
      </c>
      <c r="N89" s="135"/>
      <c r="O89" s="131" t="s">
        <v>187</v>
      </c>
    </row>
    <row r="90" spans="1:15" s="22" customFormat="1" ht="15" customHeight="1" x14ac:dyDescent="0.25">
      <c r="A90" s="190" t="s">
        <v>165</v>
      </c>
      <c r="B90" s="191"/>
      <c r="C90" s="191"/>
      <c r="D90" s="191"/>
      <c r="E90" s="191"/>
      <c r="F90" s="191"/>
      <c r="G90" s="41"/>
      <c r="H90" s="42"/>
      <c r="I90" s="33" t="s">
        <v>92</v>
      </c>
      <c r="J90" s="34">
        <v>838000</v>
      </c>
      <c r="K90" s="109"/>
      <c r="L90" s="109"/>
      <c r="M90" s="20">
        <f t="shared" si="1"/>
        <v>0</v>
      </c>
      <c r="N90" s="135"/>
      <c r="O90" s="131" t="s">
        <v>187</v>
      </c>
    </row>
    <row r="91" spans="1:15" s="22" customFormat="1" ht="15" customHeight="1" x14ac:dyDescent="0.25">
      <c r="A91" s="193" t="s">
        <v>168</v>
      </c>
      <c r="B91" s="191"/>
      <c r="C91" s="191"/>
      <c r="D91" s="191"/>
      <c r="E91" s="191"/>
      <c r="F91" s="191"/>
      <c r="G91" s="41"/>
      <c r="H91" s="42"/>
      <c r="I91" s="33" t="s">
        <v>166</v>
      </c>
      <c r="J91" s="34">
        <v>1050000</v>
      </c>
      <c r="K91" s="109"/>
      <c r="L91" s="109"/>
      <c r="M91" s="20">
        <f t="shared" si="1"/>
        <v>0</v>
      </c>
      <c r="N91" s="135"/>
      <c r="O91" s="131" t="s">
        <v>187</v>
      </c>
    </row>
    <row r="92" spans="1:15" s="55" customFormat="1" ht="15" customHeight="1" x14ac:dyDescent="0.25">
      <c r="A92" s="519" t="s">
        <v>2</v>
      </c>
      <c r="B92" s="520"/>
      <c r="C92" s="520"/>
      <c r="D92" s="520"/>
      <c r="E92" s="520"/>
      <c r="F92" s="520"/>
      <c r="G92" s="520"/>
      <c r="H92" s="521"/>
      <c r="I92" s="33"/>
      <c r="J92" s="125">
        <f>SUM(J12:J91)</f>
        <v>74984223.609999999</v>
      </c>
      <c r="K92" s="107"/>
      <c r="L92" s="107"/>
      <c r="M92" s="128">
        <f>SUM(M12:M79)</f>
        <v>23.970956453308865</v>
      </c>
      <c r="N92" s="125">
        <f>SUM(N12:N91)</f>
        <v>16917396.080000002</v>
      </c>
      <c r="O92" s="35"/>
    </row>
    <row r="93" spans="1:15" s="22" customFormat="1" ht="12.75" hidden="1" customHeight="1" x14ac:dyDescent="0.25">
      <c r="A93" s="56"/>
      <c r="B93" s="57"/>
      <c r="C93" s="57"/>
      <c r="D93" s="57"/>
      <c r="E93" s="57"/>
      <c r="F93" s="57"/>
      <c r="G93" s="57"/>
      <c r="H93" s="58"/>
      <c r="I93" s="59"/>
      <c r="J93" s="59"/>
      <c r="K93" s="522" t="s">
        <v>13</v>
      </c>
      <c r="L93" s="89"/>
      <c r="M93" s="509" t="s">
        <v>21</v>
      </c>
      <c r="N93" s="514"/>
      <c r="O93" s="60"/>
    </row>
    <row r="94" spans="1:15" s="22" customFormat="1" ht="12.75" hidden="1" customHeight="1" x14ac:dyDescent="0.25">
      <c r="A94" s="61"/>
      <c r="B94" s="23"/>
      <c r="C94" s="23"/>
      <c r="D94" s="23"/>
      <c r="E94" s="23"/>
      <c r="F94" s="23"/>
      <c r="G94" s="23"/>
      <c r="H94" s="62"/>
      <c r="I94" s="63"/>
      <c r="J94" s="63"/>
      <c r="K94" s="523"/>
      <c r="L94" s="199" t="s">
        <v>14</v>
      </c>
      <c r="M94" s="114"/>
      <c r="N94" s="114" t="s">
        <v>18</v>
      </c>
      <c r="O94" s="63"/>
    </row>
    <row r="95" spans="1:15" s="22" customFormat="1" ht="12.75" hidden="1" customHeight="1" x14ac:dyDescent="0.25">
      <c r="A95" s="48" t="s">
        <v>1</v>
      </c>
      <c r="B95" s="49"/>
      <c r="C95" s="49"/>
      <c r="D95" s="49"/>
      <c r="E95" s="25"/>
      <c r="F95" s="49"/>
      <c r="G95" s="49"/>
      <c r="H95" s="64"/>
      <c r="I95" s="65"/>
      <c r="J95" s="65"/>
      <c r="K95" s="523"/>
      <c r="L95" s="199" t="s">
        <v>15</v>
      </c>
      <c r="M95" s="90" t="s">
        <v>17</v>
      </c>
      <c r="N95" s="90" t="s">
        <v>19</v>
      </c>
      <c r="O95" s="63"/>
    </row>
    <row r="96" spans="1:15" s="22" customFormat="1" ht="12.75" hidden="1" customHeight="1" x14ac:dyDescent="0.25">
      <c r="A96" s="525" t="s">
        <v>10</v>
      </c>
      <c r="B96" s="526"/>
      <c r="C96" s="526"/>
      <c r="D96" s="526"/>
      <c r="E96" s="526"/>
      <c r="F96" s="526"/>
      <c r="G96" s="526"/>
      <c r="H96" s="527"/>
      <c r="I96" s="63" t="s">
        <v>11</v>
      </c>
      <c r="J96" s="63" t="s">
        <v>12</v>
      </c>
      <c r="K96" s="524"/>
      <c r="L96" s="199" t="s">
        <v>16</v>
      </c>
      <c r="M96" s="90" t="s">
        <v>15</v>
      </c>
      <c r="N96" s="90" t="s">
        <v>20</v>
      </c>
      <c r="O96" s="63"/>
    </row>
    <row r="97" spans="1:15" s="22" customFormat="1" ht="12.75" customHeight="1" x14ac:dyDescent="0.25">
      <c r="A97" s="515" t="s">
        <v>174</v>
      </c>
      <c r="B97" s="516"/>
      <c r="C97" s="215"/>
      <c r="D97" s="215"/>
      <c r="E97" s="215"/>
      <c r="F97" s="215"/>
      <c r="G97" s="215"/>
      <c r="H97" s="216"/>
      <c r="I97" s="63"/>
      <c r="J97" s="63"/>
      <c r="K97" s="214"/>
      <c r="L97" s="199"/>
      <c r="M97" s="90"/>
      <c r="N97" s="90"/>
      <c r="O97" s="63"/>
    </row>
    <row r="98" spans="1:15" s="22" customFormat="1" ht="15" customHeight="1" x14ac:dyDescent="0.25">
      <c r="A98" s="228" t="s">
        <v>22</v>
      </c>
      <c r="B98" s="47"/>
      <c r="C98" s="47"/>
      <c r="D98" s="47"/>
      <c r="E98" s="124"/>
      <c r="F98" s="105"/>
      <c r="G98" s="105"/>
      <c r="H98" s="78"/>
      <c r="I98" s="78"/>
      <c r="J98" s="78"/>
      <c r="K98" s="200"/>
      <c r="L98" s="200"/>
      <c r="M98" s="111"/>
      <c r="N98" s="110"/>
      <c r="O98" s="43"/>
    </row>
    <row r="99" spans="1:15" s="22" customFormat="1" ht="15" customHeight="1" x14ac:dyDescent="0.25">
      <c r="A99" s="86"/>
      <c r="B99" s="104" t="s">
        <v>23</v>
      </c>
      <c r="C99" s="104"/>
      <c r="D99" s="104"/>
      <c r="E99" s="104"/>
      <c r="F99" s="104"/>
      <c r="G99" s="66"/>
      <c r="H99" s="67"/>
      <c r="I99" s="17" t="s">
        <v>29</v>
      </c>
      <c r="J99" s="34">
        <f>22158500+2949000</f>
        <v>25107500</v>
      </c>
      <c r="K99" s="132">
        <v>42738</v>
      </c>
      <c r="L99" s="132">
        <v>43098</v>
      </c>
      <c r="M99" s="20">
        <f>+N99/J99</f>
        <v>0.63311581957582397</v>
      </c>
      <c r="N99" s="141">
        <f>2450769.2+5738895.13+436222.19+1015754.66+5194142.93+639050.55+421120.78</f>
        <v>15895955.439999999</v>
      </c>
      <c r="O99" s="247" t="s">
        <v>42</v>
      </c>
    </row>
    <row r="100" spans="1:15" s="22" customFormat="1" ht="15" customHeight="1" x14ac:dyDescent="0.25">
      <c r="A100" s="46"/>
      <c r="B100" s="47" t="s">
        <v>24</v>
      </c>
      <c r="C100" s="47"/>
      <c r="D100" s="47"/>
      <c r="E100" s="47"/>
      <c r="F100" s="47"/>
      <c r="G100" s="66"/>
      <c r="H100" s="67"/>
      <c r="I100" s="17" t="s">
        <v>29</v>
      </c>
      <c r="J100" s="34">
        <f>20729867+2947979</f>
        <v>23677846</v>
      </c>
      <c r="K100" s="132">
        <v>42738</v>
      </c>
      <c r="L100" s="132">
        <v>43098</v>
      </c>
      <c r="M100" s="20">
        <f>+N100/J100</f>
        <v>0.81108219134460113</v>
      </c>
      <c r="N100" s="140">
        <f>4582104.49+5158870.25+175501.28+1844715.17+5258903.16+1005369.83+1179215.04</f>
        <v>19204679.219999999</v>
      </c>
      <c r="O100" s="247" t="s">
        <v>42</v>
      </c>
    </row>
    <row r="101" spans="1:15" s="22" customFormat="1" ht="15" customHeight="1" x14ac:dyDescent="0.25">
      <c r="A101" s="227" t="s">
        <v>171</v>
      </c>
      <c r="B101" s="49"/>
      <c r="C101" s="49"/>
      <c r="D101" s="49"/>
      <c r="E101" s="49"/>
      <c r="F101" s="49"/>
      <c r="G101" s="126"/>
      <c r="H101" s="64"/>
      <c r="I101" s="219"/>
      <c r="J101" s="34"/>
      <c r="K101" s="112"/>
      <c r="L101" s="112"/>
      <c r="M101" s="20"/>
      <c r="N101" s="140"/>
      <c r="O101" s="51"/>
    </row>
    <row r="102" spans="1:15" s="22" customFormat="1" ht="15" customHeight="1" x14ac:dyDescent="0.25">
      <c r="A102" s="46"/>
      <c r="B102" s="47" t="s">
        <v>45</v>
      </c>
      <c r="C102" s="47"/>
      <c r="D102" s="47"/>
      <c r="E102" s="47"/>
      <c r="F102" s="67"/>
      <c r="G102" s="126"/>
      <c r="H102" s="64"/>
      <c r="I102" s="17" t="s">
        <v>29</v>
      </c>
      <c r="J102" s="34">
        <v>65000000</v>
      </c>
      <c r="K102" s="112"/>
      <c r="L102" s="112"/>
      <c r="M102" s="20">
        <f>+N102/J102</f>
        <v>0.99692307692307691</v>
      </c>
      <c r="N102" s="140">
        <v>64800000</v>
      </c>
      <c r="O102" s="131" t="s">
        <v>169</v>
      </c>
    </row>
    <row r="103" spans="1:15" s="22" customFormat="1" ht="15" hidden="1" customHeight="1" x14ac:dyDescent="0.25">
      <c r="A103" s="46"/>
      <c r="B103" s="47"/>
      <c r="C103" s="47"/>
      <c r="D103" s="47"/>
      <c r="E103" s="47"/>
      <c r="F103" s="67"/>
      <c r="G103" s="126"/>
      <c r="H103" s="64"/>
      <c r="I103" s="17"/>
      <c r="J103" s="34"/>
      <c r="K103" s="112"/>
      <c r="L103" s="112"/>
      <c r="M103" s="20"/>
      <c r="N103" s="140"/>
      <c r="O103" s="51"/>
    </row>
    <row r="104" spans="1:15" s="22" customFormat="1" ht="15" customHeight="1" x14ac:dyDescent="0.25">
      <c r="A104" s="224" t="s">
        <v>172</v>
      </c>
      <c r="B104" s="68"/>
      <c r="C104" s="49"/>
      <c r="D104" s="49"/>
      <c r="E104" s="49"/>
      <c r="F104" s="49"/>
      <c r="G104" s="126"/>
      <c r="H104" s="64"/>
      <c r="I104" s="219"/>
      <c r="J104" s="34"/>
      <c r="K104" s="112"/>
      <c r="L104" s="112"/>
      <c r="M104" s="20"/>
      <c r="N104" s="140"/>
      <c r="O104" s="51"/>
    </row>
    <row r="105" spans="1:15" s="22" customFormat="1" ht="15" customHeight="1" x14ac:dyDescent="0.25">
      <c r="A105" s="46"/>
      <c r="B105" s="71" t="s">
        <v>26</v>
      </c>
      <c r="C105" s="47"/>
      <c r="D105" s="47"/>
      <c r="E105" s="47"/>
      <c r="F105" s="225"/>
      <c r="G105" s="49"/>
      <c r="H105" s="69"/>
      <c r="I105" s="53"/>
      <c r="J105" s="53"/>
      <c r="K105" s="115"/>
      <c r="L105" s="115"/>
      <c r="M105" s="70"/>
      <c r="N105" s="142"/>
      <c r="O105" s="70"/>
    </row>
    <row r="106" spans="1:15" s="22" customFormat="1" ht="15" customHeight="1" x14ac:dyDescent="0.25">
      <c r="A106" s="46"/>
      <c r="B106" s="71" t="s">
        <v>25</v>
      </c>
      <c r="C106" s="47"/>
      <c r="D106" s="71"/>
      <c r="E106" s="47"/>
      <c r="F106" s="47"/>
      <c r="G106" s="47"/>
      <c r="H106" s="72"/>
      <c r="I106" s="53"/>
      <c r="J106" s="73"/>
      <c r="K106" s="201"/>
      <c r="L106" s="201"/>
      <c r="M106" s="74"/>
      <c r="N106" s="143"/>
      <c r="O106" s="74"/>
    </row>
    <row r="107" spans="1:15" s="22" customFormat="1" ht="15" customHeight="1" x14ac:dyDescent="0.25">
      <c r="A107" s="75"/>
      <c r="B107" s="71"/>
      <c r="C107" s="47" t="s">
        <v>6</v>
      </c>
      <c r="D107" s="47"/>
      <c r="E107" s="47"/>
      <c r="F107" s="47"/>
      <c r="G107" s="47"/>
      <c r="H107" s="76"/>
      <c r="I107" s="53"/>
      <c r="J107" s="77">
        <v>16228749</v>
      </c>
      <c r="K107" s="202"/>
      <c r="L107" s="202"/>
      <c r="M107" s="20">
        <f>+N107/J107</f>
        <v>0.72922012904383449</v>
      </c>
      <c r="N107" s="140">
        <f>5094419.5+3314636.02+3425274.92</f>
        <v>11834330.439999999</v>
      </c>
      <c r="O107" s="133" t="s">
        <v>43</v>
      </c>
    </row>
    <row r="108" spans="1:15" s="22" customFormat="1" ht="15" customHeight="1" x14ac:dyDescent="0.25">
      <c r="A108" s="46"/>
      <c r="B108" s="47"/>
      <c r="C108" s="47" t="s">
        <v>0</v>
      </c>
      <c r="D108" s="47"/>
      <c r="E108" s="47"/>
      <c r="F108" s="47"/>
      <c r="G108" s="47"/>
      <c r="H108" s="76"/>
      <c r="I108" s="53"/>
      <c r="J108" s="77">
        <v>62564884</v>
      </c>
      <c r="K108" s="116"/>
      <c r="L108" s="116"/>
      <c r="M108" s="20">
        <f>+N108/J108</f>
        <v>0.99999998801244483</v>
      </c>
      <c r="N108" s="140">
        <f>62564883.25</f>
        <v>62564883.25</v>
      </c>
      <c r="O108" s="133" t="s">
        <v>43</v>
      </c>
    </row>
    <row r="109" spans="1:15" s="22" customFormat="1" ht="15" customHeight="1" x14ac:dyDescent="0.25">
      <c r="A109" s="46"/>
      <c r="B109" s="79"/>
      <c r="C109" s="79"/>
      <c r="D109" s="79" t="s">
        <v>2</v>
      </c>
      <c r="E109" s="79"/>
      <c r="F109" s="79"/>
      <c r="G109" s="79"/>
      <c r="H109" s="67"/>
      <c r="I109" s="53"/>
      <c r="J109" s="54">
        <f>SUM(J93:J108)</f>
        <v>192578979</v>
      </c>
      <c r="K109" s="113"/>
      <c r="L109" s="113"/>
      <c r="M109" s="128">
        <f>N109/J109</f>
        <v>0.90508241997689687</v>
      </c>
      <c r="N109" s="54">
        <f>SUM(N93:N108)</f>
        <v>174299848.34999999</v>
      </c>
      <c r="O109" s="134"/>
    </row>
    <row r="110" spans="1:15" s="22" customFormat="1" ht="15" hidden="1" customHeight="1" x14ac:dyDescent="0.25">
      <c r="A110" s="86"/>
      <c r="B110" s="81"/>
      <c r="C110" s="81"/>
      <c r="D110" s="81"/>
      <c r="E110" s="81"/>
      <c r="F110" s="81"/>
      <c r="G110" s="146"/>
      <c r="H110" s="49"/>
      <c r="I110" s="84"/>
      <c r="J110" s="147"/>
      <c r="K110" s="117"/>
      <c r="L110" s="118"/>
      <c r="M110" s="128"/>
      <c r="N110" s="148"/>
      <c r="O110" s="149"/>
    </row>
    <row r="111" spans="1:15" s="22" customFormat="1" ht="15" customHeight="1" x14ac:dyDescent="0.25">
      <c r="A111" s="80" t="s">
        <v>8</v>
      </c>
      <c r="B111" s="81"/>
      <c r="C111" s="81"/>
      <c r="D111" s="81"/>
      <c r="E111" s="106"/>
      <c r="F111" s="87"/>
      <c r="G111" s="82"/>
      <c r="H111" s="41"/>
      <c r="I111" s="84"/>
      <c r="J111" s="83">
        <f>+J92+J109</f>
        <v>267563202.61000001</v>
      </c>
      <c r="K111" s="117"/>
      <c r="L111" s="118"/>
      <c r="M111" s="128">
        <f>N111/J111</f>
        <v>0.714661966087759</v>
      </c>
      <c r="N111" s="83">
        <f>+N92+N109</f>
        <v>191217244.43000001</v>
      </c>
      <c r="O111" s="118"/>
    </row>
    <row r="112" spans="1:15" s="22" customFormat="1" ht="15" customHeight="1" x14ac:dyDescent="0.25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119"/>
      <c r="L112" s="119"/>
      <c r="M112" s="119"/>
      <c r="N112" s="144"/>
      <c r="O112" s="119"/>
    </row>
    <row r="113" spans="1:15" s="22" customFormat="1" ht="15" customHeight="1" x14ac:dyDescent="0.25">
      <c r="A113" s="475" t="s">
        <v>3</v>
      </c>
      <c r="B113" s="476"/>
      <c r="C113" s="476"/>
      <c r="D113" s="476"/>
      <c r="E113" s="476"/>
      <c r="F113" s="476"/>
      <c r="G113" s="476"/>
      <c r="H113" s="476"/>
      <c r="I113" s="476"/>
      <c r="J113" s="476"/>
      <c r="K113" s="476"/>
      <c r="L113" s="476"/>
      <c r="M113" s="476"/>
      <c r="N113" s="476"/>
      <c r="O113" s="477"/>
    </row>
    <row r="114" spans="1:15" s="22" customFormat="1" ht="15" customHeight="1" x14ac:dyDescent="0.25">
      <c r="A114" s="478" t="s">
        <v>4</v>
      </c>
      <c r="B114" s="479"/>
      <c r="C114" s="479"/>
      <c r="D114" s="479"/>
      <c r="E114" s="479"/>
      <c r="F114" s="479"/>
      <c r="G114" s="479"/>
      <c r="H114" s="479"/>
      <c r="I114" s="479"/>
      <c r="J114" s="479"/>
      <c r="K114" s="479"/>
      <c r="L114" s="479"/>
      <c r="M114" s="479"/>
      <c r="N114" s="479"/>
      <c r="O114" s="480"/>
    </row>
    <row r="115" spans="1:15" s="22" customFormat="1" ht="15" customHeight="1" x14ac:dyDescent="0.25">
      <c r="A115" s="481" t="s">
        <v>5</v>
      </c>
      <c r="B115" s="482"/>
      <c r="C115" s="482"/>
      <c r="D115" s="482"/>
      <c r="E115" s="482"/>
      <c r="F115" s="482"/>
      <c r="G115" s="482"/>
      <c r="H115" s="482"/>
      <c r="I115" s="482"/>
      <c r="J115" s="482"/>
      <c r="K115" s="482"/>
      <c r="L115" s="482"/>
      <c r="M115" s="482"/>
      <c r="N115" s="482"/>
      <c r="O115" s="483"/>
    </row>
    <row r="116" spans="1:15" s="22" customFormat="1" ht="15" customHeight="1" x14ac:dyDescent="0.25">
      <c r="A116" s="484" t="s">
        <v>9</v>
      </c>
      <c r="B116" s="485"/>
      <c r="C116" s="485"/>
      <c r="D116" s="485"/>
      <c r="E116" s="485"/>
      <c r="F116" s="485"/>
      <c r="G116" s="485"/>
      <c r="H116" s="485"/>
      <c r="I116" s="485"/>
      <c r="J116" s="485"/>
      <c r="K116" s="485"/>
      <c r="L116" s="485"/>
      <c r="M116" s="485"/>
      <c r="N116" s="485"/>
      <c r="O116" s="486"/>
    </row>
    <row r="117" spans="1:15" s="22" customFormat="1" ht="15" customHeight="1" x14ac:dyDescent="0.25">
      <c r="A117" s="487" t="s">
        <v>170</v>
      </c>
      <c r="B117" s="488"/>
      <c r="C117" s="488"/>
      <c r="D117" s="488"/>
      <c r="E117" s="488"/>
      <c r="F117" s="488"/>
      <c r="G117" s="488"/>
      <c r="H117" s="488"/>
      <c r="I117" s="488"/>
      <c r="J117" s="488"/>
      <c r="K117" s="488"/>
      <c r="L117" s="488"/>
      <c r="M117" s="488"/>
      <c r="N117" s="488"/>
      <c r="O117" s="489"/>
    </row>
    <row r="118" spans="1:15" s="55" customFormat="1" ht="15" customHeight="1" x14ac:dyDescent="0.25">
      <c r="A118" s="48"/>
      <c r="B118" s="49"/>
      <c r="C118" s="49"/>
      <c r="D118" s="49"/>
      <c r="E118" s="49"/>
      <c r="F118" s="49"/>
      <c r="G118" s="49"/>
      <c r="H118" s="49"/>
      <c r="I118" s="49"/>
      <c r="J118" s="49"/>
      <c r="K118" s="119"/>
      <c r="L118" s="119"/>
      <c r="M118" s="119"/>
      <c r="N118" s="144"/>
      <c r="O118" s="161"/>
    </row>
    <row r="119" spans="1:15" s="55" customFormat="1" ht="17.25" x14ac:dyDescent="0.3">
      <c r="A119" s="48"/>
      <c r="B119" s="49"/>
      <c r="C119" s="122"/>
      <c r="D119" s="122"/>
      <c r="E119" s="122"/>
      <c r="F119" s="122"/>
      <c r="G119" s="122"/>
      <c r="H119" s="122"/>
      <c r="I119" s="122"/>
      <c r="J119" s="120"/>
      <c r="K119" s="12"/>
      <c r="L119" s="12"/>
      <c r="M119" s="12"/>
      <c r="N119" s="152"/>
      <c r="O119" s="162"/>
    </row>
    <row r="120" spans="1:15" s="55" customFormat="1" ht="17.25" x14ac:dyDescent="0.3">
      <c r="A120" s="48"/>
      <c r="B120" s="49"/>
      <c r="C120" s="122"/>
      <c r="D120" s="122"/>
      <c r="E120" s="122"/>
      <c r="F120" s="122"/>
      <c r="G120" s="122"/>
      <c r="H120" s="122"/>
      <c r="I120" s="122"/>
      <c r="J120" s="121"/>
      <c r="K120" s="12"/>
      <c r="L120" s="12"/>
      <c r="M120" s="12"/>
      <c r="N120" s="152"/>
      <c r="O120" s="162"/>
    </row>
    <row r="121" spans="1:15" s="55" customFormat="1" ht="17.25" x14ac:dyDescent="0.3">
      <c r="A121" s="48"/>
      <c r="B121" s="49"/>
      <c r="C121" s="122"/>
      <c r="D121" s="122"/>
      <c r="E121" s="122"/>
      <c r="F121" s="122"/>
      <c r="G121" s="122"/>
      <c r="H121" s="122"/>
      <c r="I121" s="122"/>
      <c r="J121" s="12"/>
      <c r="K121" s="12"/>
      <c r="L121" s="12"/>
      <c r="M121" s="12"/>
      <c r="N121" s="152"/>
      <c r="O121" s="162"/>
    </row>
    <row r="122" spans="1:15" s="182" customFormat="1" ht="17.25" customHeight="1" x14ac:dyDescent="0.3">
      <c r="A122" s="178"/>
      <c r="B122" s="179"/>
      <c r="C122" s="179"/>
      <c r="D122" s="179"/>
      <c r="E122" s="180" t="s">
        <v>75</v>
      </c>
      <c r="F122" s="180"/>
      <c r="G122" s="180"/>
      <c r="H122" s="180"/>
      <c r="I122" s="180"/>
      <c r="J122" s="180"/>
      <c r="K122" s="180"/>
      <c r="L122" s="180"/>
      <c r="M122" s="180"/>
      <c r="N122" s="180"/>
      <c r="O122" s="181"/>
    </row>
    <row r="123" spans="1:15" s="182" customFormat="1" ht="17.25" customHeight="1" x14ac:dyDescent="0.3">
      <c r="A123" s="178"/>
      <c r="B123" s="179"/>
      <c r="C123" s="179" t="s">
        <v>74</v>
      </c>
      <c r="D123" s="179"/>
      <c r="E123" s="179"/>
      <c r="F123" s="179"/>
      <c r="G123" s="179"/>
      <c r="H123" s="179"/>
      <c r="I123" s="179"/>
      <c r="J123" s="183"/>
      <c r="K123" s="179"/>
      <c r="L123" s="179"/>
      <c r="M123" s="179"/>
      <c r="N123" s="184"/>
      <c r="O123" s="185"/>
    </row>
    <row r="124" spans="1:15" s="55" customFormat="1" ht="15.75" customHeight="1" x14ac:dyDescent="0.25">
      <c r="A124" s="48"/>
      <c r="B124" s="49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60"/>
      <c r="O124" s="162"/>
    </row>
    <row r="125" spans="1:15" s="55" customFormat="1" ht="17.25" customHeight="1" x14ac:dyDescent="0.3">
      <c r="A125" s="48"/>
      <c r="B125" s="49"/>
      <c r="C125" s="12"/>
      <c r="D125" s="173"/>
      <c r="E125" s="173"/>
      <c r="F125" s="173"/>
      <c r="G125" s="173"/>
      <c r="H125" s="173"/>
      <c r="I125" s="12"/>
      <c r="J125" s="120"/>
      <c r="K125" s="12"/>
      <c r="L125" s="171"/>
      <c r="M125" s="173"/>
      <c r="N125" s="173"/>
      <c r="O125" s="174"/>
    </row>
    <row r="126" spans="1:15" s="55" customFormat="1" ht="17.25" customHeight="1" x14ac:dyDescent="0.3">
      <c r="A126" s="48"/>
      <c r="B126" s="49"/>
      <c r="C126" s="12"/>
      <c r="D126" s="171"/>
      <c r="E126" s="171"/>
      <c r="F126" s="171"/>
      <c r="G126" s="171"/>
      <c r="H126" s="171"/>
      <c r="I126" s="12"/>
      <c r="J126" s="120"/>
      <c r="K126" s="12"/>
      <c r="L126" s="171"/>
      <c r="M126" s="171"/>
      <c r="N126" s="171"/>
      <c r="O126" s="172"/>
    </row>
    <row r="127" spans="1:15" s="55" customFormat="1" ht="12.75" customHeight="1" x14ac:dyDescent="0.25">
      <c r="A127" s="157"/>
      <c r="B127" s="158"/>
      <c r="C127" s="158"/>
      <c r="D127" s="158"/>
      <c r="E127" s="158"/>
      <c r="F127" s="158"/>
      <c r="G127" s="158"/>
      <c r="H127" s="158"/>
      <c r="I127" s="158"/>
      <c r="J127" s="158"/>
      <c r="K127" s="203"/>
      <c r="L127" s="144"/>
      <c r="M127" s="123"/>
      <c r="N127" s="123"/>
      <c r="O127" s="159"/>
    </row>
    <row r="128" spans="1:15" s="55" customFormat="1" ht="12.75" customHeight="1" x14ac:dyDescent="0.25">
      <c r="A128" s="157"/>
      <c r="B128" s="158"/>
      <c r="C128" s="158"/>
      <c r="D128" s="158"/>
      <c r="E128" s="158"/>
      <c r="F128" s="158"/>
      <c r="G128" s="158"/>
      <c r="H128" s="158"/>
      <c r="I128" s="158"/>
      <c r="J128" s="158"/>
      <c r="K128" s="203"/>
      <c r="L128" s="144"/>
      <c r="M128" s="123"/>
      <c r="N128" s="123"/>
      <c r="O128" s="159"/>
    </row>
    <row r="129" spans="1:15" s="15" customFormat="1" ht="15.75" x14ac:dyDescent="0.25">
      <c r="A129" s="164"/>
      <c r="B129" s="12"/>
      <c r="C129" s="12"/>
      <c r="D129" s="151"/>
      <c r="E129" s="151"/>
      <c r="F129" s="151"/>
      <c r="G129" s="12"/>
      <c r="H129" s="12"/>
      <c r="I129" s="12"/>
      <c r="J129" s="12"/>
      <c r="K129" s="12"/>
      <c r="L129" s="12"/>
      <c r="M129" s="12"/>
      <c r="N129" s="160"/>
      <c r="O129" s="162"/>
    </row>
    <row r="130" spans="1:15" s="55" customFormat="1" ht="12.75" customHeight="1" x14ac:dyDescent="0.3">
      <c r="A130" s="157"/>
      <c r="B130" s="49"/>
      <c r="C130" s="12"/>
      <c r="D130" s="122"/>
      <c r="E130" s="122"/>
      <c r="F130" s="122"/>
      <c r="G130" s="122"/>
      <c r="H130" s="122"/>
      <c r="I130" s="122"/>
      <c r="J130" s="12"/>
      <c r="K130" s="203"/>
      <c r="L130" s="144"/>
      <c r="M130" s="123"/>
      <c r="N130" s="123"/>
      <c r="O130" s="159"/>
    </row>
    <row r="131" spans="1:15" s="189" customFormat="1" ht="17.25" x14ac:dyDescent="0.3">
      <c r="A131" s="186"/>
      <c r="B131" s="122"/>
      <c r="C131" s="122"/>
      <c r="D131" s="187" t="s">
        <v>76</v>
      </c>
      <c r="E131" s="187"/>
      <c r="F131" s="187"/>
      <c r="G131" s="122"/>
      <c r="H131" s="122"/>
      <c r="I131" s="122"/>
      <c r="J131" s="122"/>
      <c r="K131" s="122"/>
      <c r="L131" s="122"/>
      <c r="M131" s="122"/>
      <c r="N131" s="156" t="s">
        <v>73</v>
      </c>
      <c r="O131" s="188"/>
    </row>
    <row r="132" spans="1:15" s="55" customFormat="1" ht="12.75" customHeight="1" x14ac:dyDescent="0.25">
      <c r="A132" s="157"/>
      <c r="B132" s="158"/>
      <c r="C132" s="158"/>
      <c r="D132" s="158"/>
      <c r="E132" s="158"/>
      <c r="F132" s="158"/>
      <c r="G132" s="158"/>
      <c r="H132" s="158"/>
      <c r="I132" s="158"/>
      <c r="J132" s="158"/>
      <c r="K132" s="203"/>
      <c r="L132" s="144"/>
      <c r="M132" s="123"/>
      <c r="N132" s="123"/>
      <c r="O132" s="159"/>
    </row>
    <row r="133" spans="1:15" s="55" customFormat="1" ht="12.75" customHeight="1" x14ac:dyDescent="0.25">
      <c r="A133" s="157"/>
      <c r="B133" s="158"/>
      <c r="C133" s="158"/>
      <c r="D133" s="158"/>
      <c r="E133" s="158"/>
      <c r="F133" s="158"/>
      <c r="G133" s="158"/>
      <c r="H133" s="158"/>
      <c r="I133" s="158"/>
      <c r="J133" s="158"/>
      <c r="K133" s="203"/>
      <c r="L133" s="144"/>
      <c r="M133" s="123"/>
      <c r="N133" s="123"/>
      <c r="O133" s="159"/>
    </row>
    <row r="134" spans="1:15" s="55" customFormat="1" ht="12.75" customHeight="1" x14ac:dyDescent="0.25">
      <c r="A134" s="157"/>
      <c r="B134" s="158"/>
      <c r="C134" s="158"/>
      <c r="D134" s="158"/>
      <c r="E134" s="158"/>
      <c r="F134" s="158"/>
      <c r="G134" s="158"/>
      <c r="H134" s="158"/>
      <c r="I134" s="158"/>
      <c r="J134" s="158"/>
      <c r="K134" s="203"/>
      <c r="L134" s="144"/>
      <c r="M134" s="123"/>
      <c r="N134" s="123"/>
      <c r="O134" s="159"/>
    </row>
    <row r="135" spans="1:15" s="55" customFormat="1" ht="12.75" customHeight="1" x14ac:dyDescent="0.25">
      <c r="A135" s="157"/>
      <c r="B135" s="158"/>
      <c r="C135" s="158"/>
      <c r="D135" s="158"/>
      <c r="E135" s="158"/>
      <c r="F135" s="158"/>
      <c r="G135" s="158"/>
      <c r="H135" s="158"/>
      <c r="I135" s="158"/>
      <c r="J135" s="158"/>
      <c r="K135" s="203"/>
      <c r="L135" s="144"/>
      <c r="M135" s="123"/>
      <c r="N135" s="123"/>
      <c r="O135" s="159"/>
    </row>
    <row r="136" spans="1:15" s="15" customFormat="1" ht="17.25" x14ac:dyDescent="0.3">
      <c r="A136" s="165"/>
      <c r="D136" s="471" t="s">
        <v>44</v>
      </c>
      <c r="E136" s="471"/>
      <c r="F136" s="471"/>
      <c r="G136" s="471"/>
      <c r="H136" s="471"/>
      <c r="I136" s="12"/>
      <c r="J136" s="120"/>
      <c r="K136" s="12"/>
      <c r="L136" s="471" t="s">
        <v>56</v>
      </c>
      <c r="M136" s="471"/>
      <c r="N136" s="471"/>
      <c r="O136" s="472"/>
    </row>
    <row r="137" spans="1:15" s="15" customFormat="1" ht="17.25" x14ac:dyDescent="0.3">
      <c r="A137" s="165"/>
      <c r="D137" s="473" t="s">
        <v>7</v>
      </c>
      <c r="E137" s="473"/>
      <c r="F137" s="473"/>
      <c r="G137" s="473"/>
      <c r="H137" s="473"/>
      <c r="I137" s="12"/>
      <c r="J137" s="120"/>
      <c r="K137" s="12"/>
      <c r="L137" s="473" t="s">
        <v>27</v>
      </c>
      <c r="M137" s="473"/>
      <c r="N137" s="473"/>
      <c r="O137" s="474"/>
    </row>
    <row r="138" spans="1:15" s="55" customFormat="1" ht="12.75" customHeight="1" x14ac:dyDescent="0.25">
      <c r="A138" s="175"/>
      <c r="B138" s="176"/>
      <c r="C138" s="176"/>
      <c r="D138" s="176"/>
      <c r="E138" s="176"/>
      <c r="F138" s="176"/>
      <c r="G138" s="176"/>
      <c r="H138" s="176"/>
      <c r="I138" s="176"/>
      <c r="J138" s="176"/>
      <c r="K138" s="176"/>
      <c r="L138" s="176"/>
      <c r="M138" s="176"/>
      <c r="N138" s="176"/>
      <c r="O138" s="177"/>
    </row>
    <row r="139" spans="1:15" s="55" customFormat="1" ht="12.75" customHeight="1" x14ac:dyDescent="0.25">
      <c r="A139" s="157"/>
      <c r="B139" s="158"/>
      <c r="C139" s="158"/>
      <c r="D139" s="158"/>
      <c r="E139" s="158"/>
      <c r="F139" s="158"/>
      <c r="G139" s="158"/>
      <c r="H139" s="158"/>
      <c r="I139" s="158"/>
      <c r="J139" s="158"/>
      <c r="K139" s="203"/>
      <c r="L139" s="144"/>
      <c r="M139" s="123"/>
      <c r="N139" s="123"/>
      <c r="O139" s="159"/>
    </row>
    <row r="140" spans="1:15" s="55" customFormat="1" ht="12.75" customHeight="1" x14ac:dyDescent="0.25">
      <c r="A140" s="153"/>
      <c r="B140" s="154"/>
      <c r="C140" s="154"/>
      <c r="D140" s="154"/>
      <c r="E140" s="154"/>
      <c r="F140" s="154"/>
      <c r="G140" s="154"/>
      <c r="H140" s="154"/>
      <c r="I140" s="154"/>
      <c r="J140" s="154"/>
      <c r="K140" s="203"/>
      <c r="L140" s="144"/>
      <c r="M140" s="123"/>
      <c r="N140" s="123"/>
      <c r="O140" s="155"/>
    </row>
    <row r="141" spans="1:15" s="55" customFormat="1" ht="12.75" customHeight="1" x14ac:dyDescent="0.25">
      <c r="A141" s="153"/>
      <c r="B141" s="154"/>
      <c r="C141" s="154"/>
      <c r="D141" s="154"/>
      <c r="E141" s="154"/>
      <c r="F141" s="154"/>
      <c r="G141" s="154"/>
      <c r="H141" s="154"/>
      <c r="I141" s="154"/>
      <c r="J141" s="154"/>
      <c r="K141" s="203"/>
      <c r="L141" s="144"/>
      <c r="M141" s="123"/>
      <c r="N141" s="123"/>
      <c r="O141" s="155"/>
    </row>
    <row r="142" spans="1:15" s="55" customFormat="1" ht="12.75" customHeight="1" x14ac:dyDescent="0.25">
      <c r="A142" s="153"/>
      <c r="B142" s="154"/>
      <c r="C142" s="154"/>
      <c r="D142" s="154"/>
      <c r="E142" s="154"/>
      <c r="F142" s="154"/>
      <c r="G142" s="154"/>
      <c r="H142" s="154"/>
      <c r="I142" s="154"/>
      <c r="J142" s="154"/>
      <c r="K142" s="203"/>
      <c r="L142" s="144"/>
      <c r="M142" s="123"/>
      <c r="N142" s="123"/>
      <c r="O142" s="155"/>
    </row>
    <row r="143" spans="1:15" s="55" customFormat="1" ht="12.75" customHeight="1" x14ac:dyDescent="0.25">
      <c r="A143" s="153"/>
      <c r="B143" s="154"/>
      <c r="C143" s="154"/>
      <c r="D143" s="154"/>
      <c r="E143" s="154"/>
      <c r="F143" s="154"/>
      <c r="G143" s="154"/>
      <c r="H143" s="154"/>
      <c r="I143" s="154"/>
      <c r="J143" s="154"/>
      <c r="K143" s="203"/>
      <c r="L143" s="144"/>
      <c r="M143" s="123"/>
      <c r="N143" s="123"/>
      <c r="O143" s="155"/>
    </row>
    <row r="144" spans="1:15" s="55" customFormat="1" ht="12.75" customHeight="1" x14ac:dyDescent="0.25">
      <c r="A144" s="153"/>
      <c r="B144" s="154"/>
      <c r="C144" s="154"/>
      <c r="D144" s="154"/>
      <c r="E144" s="154"/>
      <c r="F144" s="154"/>
      <c r="G144" s="154"/>
      <c r="H144" s="154"/>
      <c r="I144" s="154"/>
      <c r="J144" s="154"/>
      <c r="K144" s="203"/>
      <c r="L144" s="144"/>
      <c r="M144" s="123"/>
      <c r="N144" s="123"/>
      <c r="O144" s="155"/>
    </row>
    <row r="145" spans="1:15" s="55" customFormat="1" ht="12.75" customHeight="1" x14ac:dyDescent="0.25">
      <c r="A145" s="153"/>
      <c r="B145" s="154"/>
      <c r="C145" s="154"/>
      <c r="D145" s="154"/>
      <c r="E145" s="154"/>
      <c r="F145" s="154"/>
      <c r="G145" s="154"/>
      <c r="H145" s="154"/>
      <c r="I145" s="154"/>
      <c r="J145" s="154"/>
      <c r="K145" s="203"/>
      <c r="L145" s="144"/>
      <c r="M145" s="123"/>
      <c r="N145" s="123"/>
      <c r="O145" s="155"/>
    </row>
    <row r="146" spans="1:15" s="55" customFormat="1" ht="12.75" customHeight="1" x14ac:dyDescent="0.25">
      <c r="A146" s="153"/>
      <c r="B146" s="154"/>
      <c r="C146" s="154"/>
      <c r="D146" s="154"/>
      <c r="E146" s="154"/>
      <c r="F146" s="154"/>
      <c r="G146" s="154"/>
      <c r="H146" s="154"/>
      <c r="I146" s="154"/>
      <c r="J146" s="154"/>
      <c r="K146" s="203"/>
      <c r="L146" s="144"/>
      <c r="M146" s="123"/>
      <c r="N146" s="123"/>
      <c r="O146" s="155"/>
    </row>
    <row r="147" spans="1:15" s="55" customFormat="1" ht="12.75" customHeight="1" x14ac:dyDescent="0.25">
      <c r="A147" s="153"/>
      <c r="B147" s="154"/>
      <c r="C147" s="154"/>
      <c r="D147" s="154"/>
      <c r="E147" s="154"/>
      <c r="F147" s="154"/>
      <c r="G147" s="154"/>
      <c r="H147" s="154"/>
      <c r="I147" s="154"/>
      <c r="J147" s="154"/>
      <c r="K147" s="203"/>
      <c r="L147" s="144"/>
      <c r="M147" s="123"/>
      <c r="N147" s="123"/>
      <c r="O147" s="155"/>
    </row>
    <row r="148" spans="1:15" s="55" customFormat="1" ht="12.75" customHeight="1" x14ac:dyDescent="0.25">
      <c r="A148" s="153"/>
      <c r="B148" s="154"/>
      <c r="C148" s="154"/>
      <c r="D148" s="154"/>
      <c r="E148" s="154"/>
      <c r="F148" s="154"/>
      <c r="G148" s="154"/>
      <c r="H148" s="154"/>
      <c r="I148" s="154"/>
      <c r="J148" s="154"/>
      <c r="K148" s="203"/>
      <c r="L148" s="144"/>
      <c r="M148" s="123"/>
      <c r="N148" s="123"/>
      <c r="O148" s="155"/>
    </row>
    <row r="149" spans="1:15" s="55" customFormat="1" ht="12.75" customHeight="1" x14ac:dyDescent="0.25">
      <c r="A149" s="153"/>
      <c r="B149" s="154"/>
      <c r="C149" s="154"/>
      <c r="D149" s="154"/>
      <c r="E149" s="154"/>
      <c r="F149" s="154"/>
      <c r="G149" s="154"/>
      <c r="H149" s="154"/>
      <c r="I149" s="154"/>
      <c r="J149" s="154"/>
      <c r="K149" s="203"/>
      <c r="L149" s="144"/>
      <c r="M149" s="123"/>
      <c r="N149" s="123"/>
      <c r="O149" s="155"/>
    </row>
    <row r="150" spans="1:15" s="55" customFormat="1" ht="15" x14ac:dyDescent="0.25">
      <c r="A150" s="48"/>
      <c r="B150" s="49"/>
      <c r="C150" s="49"/>
      <c r="D150" s="50"/>
      <c r="E150" s="50"/>
      <c r="F150" s="50"/>
      <c r="G150" s="50"/>
      <c r="H150" s="50"/>
      <c r="I150" s="49"/>
      <c r="J150" s="85"/>
      <c r="K150" s="49"/>
      <c r="L150" s="50"/>
      <c r="M150" s="50"/>
      <c r="N150" s="50"/>
      <c r="O150" s="163"/>
    </row>
    <row r="151" spans="1:15" s="55" customFormat="1" ht="15" x14ac:dyDescent="0.25">
      <c r="A151" s="48"/>
      <c r="B151" s="49"/>
      <c r="C151" s="49"/>
      <c r="D151" s="50"/>
      <c r="E151" s="50"/>
      <c r="F151" s="50"/>
      <c r="G151" s="50"/>
      <c r="H151" s="50"/>
      <c r="I151" s="49"/>
      <c r="J151" s="85"/>
      <c r="K151" s="49"/>
      <c r="L151" s="50"/>
      <c r="M151" s="50"/>
      <c r="N151" s="50"/>
      <c r="O151" s="163"/>
    </row>
    <row r="152" spans="1:15" s="15" customFormat="1" ht="15.75" x14ac:dyDescent="0.25">
      <c r="A152" s="164"/>
      <c r="B152" s="12"/>
      <c r="C152" s="12"/>
      <c r="D152" s="490"/>
      <c r="E152" s="490"/>
      <c r="F152" s="490"/>
      <c r="G152" s="490"/>
      <c r="H152" s="490"/>
      <c r="I152" s="12"/>
      <c r="J152" s="12"/>
      <c r="K152" s="12"/>
      <c r="L152" s="12"/>
      <c r="M152" s="12"/>
      <c r="N152" s="152"/>
      <c r="O152" s="162"/>
    </row>
    <row r="153" spans="1:15" s="15" customFormat="1" ht="15.75" x14ac:dyDescent="0.25">
      <c r="A153" s="164"/>
      <c r="B153" s="12"/>
      <c r="C153" s="12"/>
      <c r="D153" s="151"/>
      <c r="E153" s="151"/>
      <c r="F153" s="151"/>
      <c r="G153" s="12"/>
      <c r="H153" s="12"/>
      <c r="I153" s="12"/>
      <c r="J153" s="12"/>
      <c r="K153" s="12"/>
      <c r="L153" s="12"/>
      <c r="M153" s="12"/>
      <c r="N153" s="152"/>
      <c r="O153" s="162"/>
    </row>
    <row r="154" spans="1:15" s="15" customFormat="1" x14ac:dyDescent="0.2">
      <c r="A154" s="165"/>
      <c r="N154" s="150"/>
      <c r="O154" s="166"/>
    </row>
    <row r="155" spans="1:15" s="15" customFormat="1" x14ac:dyDescent="0.2">
      <c r="A155" s="165"/>
      <c r="N155" s="150"/>
      <c r="O155" s="166"/>
    </row>
    <row r="156" spans="1:15" s="15" customFormat="1" ht="17.25" x14ac:dyDescent="0.3">
      <c r="A156" s="165"/>
      <c r="D156" s="471"/>
      <c r="E156" s="471"/>
      <c r="F156" s="471"/>
      <c r="G156" s="471"/>
      <c r="H156" s="471"/>
      <c r="I156" s="12"/>
      <c r="J156" s="120"/>
      <c r="K156" s="12"/>
      <c r="L156" s="471"/>
      <c r="M156" s="471"/>
      <c r="N156" s="471"/>
      <c r="O156" s="472"/>
    </row>
    <row r="157" spans="1:15" s="15" customFormat="1" ht="17.25" x14ac:dyDescent="0.3">
      <c r="A157" s="165"/>
      <c r="D157" s="473"/>
      <c r="E157" s="473"/>
      <c r="F157" s="473"/>
      <c r="G157" s="473"/>
      <c r="H157" s="473"/>
      <c r="I157" s="12"/>
      <c r="J157" s="120"/>
      <c r="K157" s="12"/>
      <c r="L157" s="473"/>
      <c r="M157" s="473"/>
      <c r="N157" s="473"/>
      <c r="O157" s="474"/>
    </row>
    <row r="158" spans="1:15" s="15" customFormat="1" x14ac:dyDescent="0.2">
      <c r="A158" s="165"/>
      <c r="N158" s="150"/>
      <c r="O158" s="166"/>
    </row>
    <row r="159" spans="1:15" s="15" customFormat="1" x14ac:dyDescent="0.2">
      <c r="A159" s="165"/>
      <c r="N159" s="150"/>
      <c r="O159" s="166"/>
    </row>
    <row r="160" spans="1:15" s="15" customFormat="1" x14ac:dyDescent="0.2">
      <c r="A160" s="165"/>
      <c r="N160" s="150"/>
      <c r="O160" s="166"/>
    </row>
    <row r="161" spans="1:15" s="15" customFormat="1" x14ac:dyDescent="0.2">
      <c r="A161" s="165"/>
      <c r="N161" s="150"/>
      <c r="O161" s="166"/>
    </row>
    <row r="162" spans="1:15" s="15" customFormat="1" x14ac:dyDescent="0.2">
      <c r="A162" s="165"/>
      <c r="N162" s="150"/>
      <c r="O162" s="166"/>
    </row>
    <row r="163" spans="1:15" s="15" customFormat="1" x14ac:dyDescent="0.2">
      <c r="A163" s="165"/>
      <c r="N163" s="150"/>
      <c r="O163" s="166"/>
    </row>
    <row r="164" spans="1:15" s="15" customFormat="1" x14ac:dyDescent="0.2">
      <c r="A164" s="167"/>
      <c r="B164" s="168"/>
      <c r="C164" s="168"/>
      <c r="D164" s="168"/>
      <c r="E164" s="168"/>
      <c r="F164" s="168"/>
      <c r="G164" s="168"/>
      <c r="H164" s="168"/>
      <c r="I164" s="168"/>
      <c r="J164" s="168"/>
      <c r="K164" s="168"/>
      <c r="L164" s="168"/>
      <c r="M164" s="168"/>
      <c r="N164" s="169"/>
      <c r="O164" s="170"/>
    </row>
    <row r="165" spans="1:15" s="15" customFormat="1" x14ac:dyDescent="0.2">
      <c r="N165" s="150"/>
    </row>
    <row r="166" spans="1:15" s="15" customFormat="1" x14ac:dyDescent="0.2">
      <c r="N166" s="150"/>
    </row>
    <row r="167" spans="1:15" s="15" customFormat="1" x14ac:dyDescent="0.2">
      <c r="N167" s="150"/>
    </row>
    <row r="168" spans="1:15" s="15" customFormat="1" x14ac:dyDescent="0.2">
      <c r="N168" s="150"/>
    </row>
    <row r="169" spans="1:15" s="15" customFormat="1" x14ac:dyDescent="0.2">
      <c r="N169" s="150"/>
    </row>
    <row r="170" spans="1:15" s="15" customFormat="1" x14ac:dyDescent="0.2">
      <c r="N170" s="150"/>
    </row>
    <row r="171" spans="1:15" s="15" customFormat="1" x14ac:dyDescent="0.2">
      <c r="N171" s="150"/>
    </row>
    <row r="172" spans="1:15" s="15" customFormat="1" x14ac:dyDescent="0.2">
      <c r="N172" s="150"/>
    </row>
    <row r="173" spans="1:15" s="15" customFormat="1" x14ac:dyDescent="0.2">
      <c r="N173" s="150"/>
    </row>
    <row r="174" spans="1:15" s="15" customFormat="1" x14ac:dyDescent="0.2">
      <c r="N174" s="150"/>
    </row>
  </sheetData>
  <mergeCells count="51">
    <mergeCell ref="A97:B97"/>
    <mergeCell ref="A10:B10"/>
    <mergeCell ref="A92:H92"/>
    <mergeCell ref="K93:K96"/>
    <mergeCell ref="A96:H96"/>
    <mergeCell ref="A25:F25"/>
    <mergeCell ref="A26:F26"/>
    <mergeCell ref="A27:F27"/>
    <mergeCell ref="A19:F19"/>
    <mergeCell ref="A20:F20"/>
    <mergeCell ref="A21:F21"/>
    <mergeCell ref="A22:F22"/>
    <mergeCell ref="A24:F24"/>
    <mergeCell ref="A14:F14"/>
    <mergeCell ref="A12:F12"/>
    <mergeCell ref="A13:F13"/>
    <mergeCell ref="M93:N93"/>
    <mergeCell ref="A28:F28"/>
    <mergeCell ref="A31:F31"/>
    <mergeCell ref="A32:F32"/>
    <mergeCell ref="A33:F33"/>
    <mergeCell ref="A34:F34"/>
    <mergeCell ref="A35:F35"/>
    <mergeCell ref="A29:F29"/>
    <mergeCell ref="A30:F30"/>
    <mergeCell ref="A17:F17"/>
    <mergeCell ref="A18:F18"/>
    <mergeCell ref="A1:O1"/>
    <mergeCell ref="A2:O2"/>
    <mergeCell ref="A3:O3"/>
    <mergeCell ref="A4:O4"/>
    <mergeCell ref="A5:O5"/>
    <mergeCell ref="J6:J9"/>
    <mergeCell ref="I6:I9"/>
    <mergeCell ref="A6:H9"/>
    <mergeCell ref="M6:N6"/>
    <mergeCell ref="K6:K9"/>
    <mergeCell ref="D156:H156"/>
    <mergeCell ref="L156:O156"/>
    <mergeCell ref="D157:H157"/>
    <mergeCell ref="L157:O157"/>
    <mergeCell ref="A113:O113"/>
    <mergeCell ref="A114:O114"/>
    <mergeCell ref="A115:O115"/>
    <mergeCell ref="A116:O116"/>
    <mergeCell ref="A117:O117"/>
    <mergeCell ref="D136:H136"/>
    <mergeCell ref="L136:O136"/>
    <mergeCell ref="D137:H137"/>
    <mergeCell ref="L137:O137"/>
    <mergeCell ref="D152:H152"/>
  </mergeCells>
  <printOptions horizontalCentered="1"/>
  <pageMargins left="0.25" right="0.28000000000000003" top="0.37" bottom="0.34" header="0.23" footer="0.16"/>
  <pageSetup paperSize="5" scale="75" orientation="landscape" copies="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2"/>
  <sheetViews>
    <sheetView tabSelected="1" view="pageLayout" topLeftCell="A147" zoomScaleNormal="100" workbookViewId="0">
      <selection activeCell="J170" sqref="J170"/>
    </sheetView>
  </sheetViews>
  <sheetFormatPr defaultRowHeight="12.75" x14ac:dyDescent="0.2"/>
  <cols>
    <col min="6" max="6" width="20.140625" customWidth="1"/>
    <col min="7" max="8" width="9.140625" hidden="1" customWidth="1"/>
    <col min="9" max="9" width="22" customWidth="1"/>
    <col min="10" max="10" width="15.5703125" customWidth="1"/>
    <col min="11" max="11" width="14.5703125" bestFit="1" customWidth="1"/>
    <col min="12" max="12" width="11.28515625" customWidth="1"/>
    <col min="13" max="13" width="13.85546875" customWidth="1"/>
    <col min="14" max="14" width="14.7109375" customWidth="1"/>
    <col min="15" max="15" width="33.5703125" customWidth="1"/>
    <col min="17" max="17" width="15.5703125" customWidth="1"/>
  </cols>
  <sheetData>
    <row r="1" spans="1:18" s="13" customFormat="1" ht="13.5" x14ac:dyDescent="0.2">
      <c r="A1" s="543" t="s">
        <v>3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5"/>
    </row>
    <row r="2" spans="1:18" s="13" customFormat="1" ht="15" customHeight="1" x14ac:dyDescent="0.2">
      <c r="A2" s="540" t="s">
        <v>4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2"/>
    </row>
    <row r="3" spans="1:18" s="13" customFormat="1" x14ac:dyDescent="0.2">
      <c r="A3" s="537" t="s">
        <v>5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9"/>
    </row>
    <row r="4" spans="1:18" s="13" customFormat="1" ht="15" customHeight="1" x14ac:dyDescent="0.2">
      <c r="A4" s="532" t="s">
        <v>9</v>
      </c>
      <c r="B4" s="533"/>
      <c r="C4" s="533"/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4"/>
    </row>
    <row r="5" spans="1:18" s="13" customFormat="1" x14ac:dyDescent="0.2">
      <c r="A5" s="506" t="s">
        <v>275</v>
      </c>
      <c r="B5" s="507"/>
      <c r="C5" s="507"/>
      <c r="D5" s="507"/>
      <c r="E5" s="507"/>
      <c r="F5" s="507"/>
      <c r="G5" s="507"/>
      <c r="H5" s="507"/>
      <c r="I5" s="507"/>
      <c r="J5" s="504"/>
      <c r="K5" s="507"/>
      <c r="L5" s="507"/>
      <c r="M5" s="507"/>
      <c r="N5" s="507"/>
      <c r="O5" s="505"/>
    </row>
    <row r="6" spans="1:18" s="1" customFormat="1" x14ac:dyDescent="0.2">
      <c r="A6" s="500" t="s">
        <v>10</v>
      </c>
      <c r="B6" s="501"/>
      <c r="C6" s="501"/>
      <c r="D6" s="501"/>
      <c r="E6" s="501"/>
      <c r="F6" s="501"/>
      <c r="G6" s="501"/>
      <c r="H6" s="502"/>
      <c r="I6" s="500" t="s">
        <v>11</v>
      </c>
      <c r="J6" s="377"/>
      <c r="K6" s="566" t="s">
        <v>13</v>
      </c>
      <c r="L6" s="251"/>
      <c r="M6" s="535" t="s">
        <v>31</v>
      </c>
      <c r="N6" s="569"/>
      <c r="O6" s="3"/>
      <c r="Q6" s="269"/>
      <c r="R6" s="258"/>
    </row>
    <row r="7" spans="1:18" s="1" customFormat="1" x14ac:dyDescent="0.2">
      <c r="A7" s="503"/>
      <c r="B7" s="504"/>
      <c r="C7" s="504"/>
      <c r="D7" s="504"/>
      <c r="E7" s="504"/>
      <c r="F7" s="504"/>
      <c r="G7" s="504"/>
      <c r="H7" s="505"/>
      <c r="I7" s="503"/>
      <c r="J7" s="378" t="s">
        <v>12</v>
      </c>
      <c r="K7" s="567"/>
      <c r="L7" s="2" t="s">
        <v>14</v>
      </c>
      <c r="M7" s="2" t="s">
        <v>17</v>
      </c>
      <c r="N7" s="252" t="s">
        <v>34</v>
      </c>
      <c r="O7" s="2" t="s">
        <v>30</v>
      </c>
      <c r="Q7" s="269"/>
      <c r="R7" s="258"/>
    </row>
    <row r="8" spans="1:18" s="1" customFormat="1" ht="12.75" customHeight="1" x14ac:dyDescent="0.2">
      <c r="A8" s="503"/>
      <c r="B8" s="504"/>
      <c r="C8" s="504"/>
      <c r="D8" s="504"/>
      <c r="E8" s="504"/>
      <c r="F8" s="504"/>
      <c r="G8" s="504"/>
      <c r="H8" s="505"/>
      <c r="I8" s="503"/>
      <c r="J8" s="498" t="s">
        <v>193</v>
      </c>
      <c r="K8" s="567"/>
      <c r="L8" s="2" t="s">
        <v>15</v>
      </c>
      <c r="M8" s="2" t="s">
        <v>32</v>
      </c>
      <c r="N8" s="252" t="s">
        <v>19</v>
      </c>
      <c r="O8" s="2" t="s">
        <v>35</v>
      </c>
      <c r="Q8" s="386"/>
      <c r="R8" s="258"/>
    </row>
    <row r="9" spans="1:18" s="1" customFormat="1" ht="12.75" customHeight="1" x14ac:dyDescent="0.2">
      <c r="A9" s="506"/>
      <c r="B9" s="507"/>
      <c r="C9" s="507"/>
      <c r="D9" s="507"/>
      <c r="E9" s="507"/>
      <c r="F9" s="507"/>
      <c r="G9" s="507"/>
      <c r="H9" s="508"/>
      <c r="I9" s="506"/>
      <c r="J9" s="499"/>
      <c r="K9" s="568"/>
      <c r="L9" s="4" t="s">
        <v>16</v>
      </c>
      <c r="M9" s="4" t="s">
        <v>33</v>
      </c>
      <c r="N9" s="253" t="s">
        <v>20</v>
      </c>
      <c r="O9" s="4"/>
    </row>
    <row r="10" spans="1:18" s="1" customFormat="1" ht="12.75" customHeight="1" x14ac:dyDescent="0.2">
      <c r="A10" s="570" t="s">
        <v>175</v>
      </c>
      <c r="B10" s="571"/>
      <c r="C10" s="249"/>
      <c r="D10" s="249"/>
      <c r="E10" s="249"/>
      <c r="F10" s="249"/>
      <c r="G10" s="249"/>
      <c r="H10" s="249"/>
      <c r="I10" s="248"/>
      <c r="J10" s="249"/>
      <c r="K10" s="254"/>
      <c r="L10" s="255"/>
      <c r="M10" s="2"/>
      <c r="N10" s="256"/>
      <c r="O10" s="2"/>
    </row>
    <row r="11" spans="1:18" s="1" customFormat="1" ht="15" customHeight="1" x14ac:dyDescent="0.2">
      <c r="A11" s="257" t="s">
        <v>28</v>
      </c>
      <c r="B11" s="258"/>
      <c r="C11" s="258"/>
      <c r="D11" s="258"/>
      <c r="E11" s="259"/>
      <c r="F11" s="258"/>
      <c r="G11" s="256"/>
      <c r="H11" s="256"/>
      <c r="I11" s="2"/>
      <c r="J11" s="258"/>
      <c r="K11" s="260"/>
      <c r="L11" s="88"/>
      <c r="M11" s="261"/>
      <c r="N11" s="262"/>
      <c r="O11" s="261"/>
    </row>
    <row r="12" spans="1:18" s="1" customFormat="1" ht="15" customHeight="1" x14ac:dyDescent="0.2">
      <c r="A12" s="404" t="s">
        <v>245</v>
      </c>
      <c r="B12" s="405"/>
      <c r="C12" s="405"/>
      <c r="D12" s="405"/>
      <c r="E12" s="405"/>
      <c r="F12" s="405"/>
      <c r="G12" s="307"/>
      <c r="H12" s="308"/>
      <c r="I12" s="286"/>
      <c r="J12" s="283">
        <v>40000000</v>
      </c>
      <c r="K12" s="309"/>
      <c r="L12" s="309"/>
      <c r="M12" s="268">
        <f t="shared" ref="M12:M45" si="0">+N12/J12</f>
        <v>7.3000000000000001E-3</v>
      </c>
      <c r="N12" s="266">
        <v>292000</v>
      </c>
      <c r="O12" s="192" t="s">
        <v>42</v>
      </c>
    </row>
    <row r="13" spans="1:18" s="1" customFormat="1" ht="15" customHeight="1" x14ac:dyDescent="0.2">
      <c r="A13" s="564" t="s">
        <v>203</v>
      </c>
      <c r="B13" s="565"/>
      <c r="C13" s="565"/>
      <c r="D13" s="565"/>
      <c r="E13" s="565"/>
      <c r="F13" s="565"/>
      <c r="G13" s="263"/>
      <c r="H13" s="263"/>
      <c r="I13" s="264" t="s">
        <v>92</v>
      </c>
      <c r="J13" s="284">
        <v>1080000</v>
      </c>
      <c r="K13" s="266"/>
      <c r="L13" s="267"/>
      <c r="M13" s="268">
        <f t="shared" si="0"/>
        <v>8.6409907407407407E-3</v>
      </c>
      <c r="N13" s="267">
        <v>9332.27</v>
      </c>
      <c r="O13" s="130" t="s">
        <v>279</v>
      </c>
    </row>
    <row r="14" spans="1:18" s="1" customFormat="1" ht="15" customHeight="1" x14ac:dyDescent="0.2">
      <c r="A14" s="564" t="s">
        <v>204</v>
      </c>
      <c r="B14" s="565"/>
      <c r="C14" s="565"/>
      <c r="D14" s="565"/>
      <c r="E14" s="565"/>
      <c r="F14" s="565"/>
      <c r="G14" s="256"/>
      <c r="H14" s="256"/>
      <c r="I14" s="403" t="s">
        <v>92</v>
      </c>
      <c r="J14" s="269">
        <v>905000</v>
      </c>
      <c r="K14" s="260"/>
      <c r="L14" s="88"/>
      <c r="M14" s="268">
        <f t="shared" si="0"/>
        <v>1.0274353591160221E-2</v>
      </c>
      <c r="N14" s="88">
        <v>9298.2900000000009</v>
      </c>
      <c r="O14" s="130" t="s">
        <v>279</v>
      </c>
    </row>
    <row r="15" spans="1:18" s="272" customFormat="1" ht="15" customHeight="1" x14ac:dyDescent="0.2">
      <c r="A15" s="564" t="s">
        <v>205</v>
      </c>
      <c r="B15" s="565"/>
      <c r="C15" s="565"/>
      <c r="D15" s="565"/>
      <c r="E15" s="565"/>
      <c r="F15" s="572"/>
      <c r="G15" s="270"/>
      <c r="H15" s="270"/>
      <c r="I15" s="403" t="s">
        <v>92</v>
      </c>
      <c r="J15" s="265">
        <v>1000000</v>
      </c>
      <c r="K15" s="266"/>
      <c r="L15" s="267"/>
      <c r="M15" s="268">
        <f t="shared" si="0"/>
        <v>2.5115920000000003E-2</v>
      </c>
      <c r="N15" s="267">
        <f>22880.38+2235.54</f>
        <v>25115.920000000002</v>
      </c>
      <c r="O15" s="130" t="s">
        <v>279</v>
      </c>
    </row>
    <row r="16" spans="1:18" s="276" customFormat="1" ht="15" customHeight="1" x14ac:dyDescent="0.2">
      <c r="A16" s="273" t="s">
        <v>206</v>
      </c>
      <c r="B16" s="231"/>
      <c r="C16" s="234"/>
      <c r="D16" s="234"/>
      <c r="E16" s="234"/>
      <c r="F16" s="234"/>
      <c r="G16" s="235"/>
      <c r="H16" s="235"/>
      <c r="I16" s="236" t="s">
        <v>92</v>
      </c>
      <c r="J16" s="468">
        <v>500000</v>
      </c>
      <c r="K16" s="274"/>
      <c r="L16" s="275"/>
      <c r="M16" s="268">
        <f t="shared" si="0"/>
        <v>0</v>
      </c>
      <c r="N16" s="275"/>
      <c r="O16" s="130" t="s">
        <v>280</v>
      </c>
    </row>
    <row r="17" spans="1:15" s="276" customFormat="1" ht="15" customHeight="1" x14ac:dyDescent="0.2">
      <c r="A17" s="273" t="s">
        <v>207</v>
      </c>
      <c r="B17" s="231"/>
      <c r="C17" s="234"/>
      <c r="D17" s="234"/>
      <c r="E17" s="234"/>
      <c r="F17" s="234"/>
      <c r="G17" s="235"/>
      <c r="H17" s="235"/>
      <c r="I17" s="236" t="s">
        <v>112</v>
      </c>
      <c r="J17" s="468">
        <v>750000</v>
      </c>
      <c r="K17" s="274"/>
      <c r="L17" s="275"/>
      <c r="M17" s="268">
        <f t="shared" si="0"/>
        <v>0.70198977333333346</v>
      </c>
      <c r="N17" s="275">
        <f>190266.02+47517+287339.5+1369.81</f>
        <v>526492.33000000007</v>
      </c>
      <c r="O17" s="130" t="s">
        <v>281</v>
      </c>
    </row>
    <row r="18" spans="1:15" s="1" customFormat="1" ht="15" customHeight="1" x14ac:dyDescent="0.2">
      <c r="A18" s="564" t="s">
        <v>208</v>
      </c>
      <c r="B18" s="565"/>
      <c r="C18" s="565"/>
      <c r="D18" s="565"/>
      <c r="E18" s="565"/>
      <c r="F18" s="565"/>
      <c r="G18" s="263"/>
      <c r="H18" s="263"/>
      <c r="I18" s="264" t="s">
        <v>164</v>
      </c>
      <c r="J18" s="265">
        <v>500000</v>
      </c>
      <c r="K18" s="266"/>
      <c r="L18" s="267"/>
      <c r="M18" s="268">
        <f t="shared" si="0"/>
        <v>0.59819926000000001</v>
      </c>
      <c r="N18" s="267">
        <f>3905+159035+88563+15486.63+32110</f>
        <v>299099.63</v>
      </c>
      <c r="O18" s="131" t="s">
        <v>42</v>
      </c>
    </row>
    <row r="19" spans="1:15" s="1" customFormat="1" ht="15" customHeight="1" x14ac:dyDescent="0.2">
      <c r="A19" s="564" t="s">
        <v>209</v>
      </c>
      <c r="B19" s="565"/>
      <c r="C19" s="565"/>
      <c r="D19" s="565"/>
      <c r="E19" s="565"/>
      <c r="F19" s="565"/>
      <c r="G19" s="256"/>
      <c r="H19" s="277"/>
      <c r="I19" s="278" t="s">
        <v>36</v>
      </c>
      <c r="J19" s="279">
        <v>1300000</v>
      </c>
      <c r="K19" s="280"/>
      <c r="L19" s="281"/>
      <c r="M19" s="271">
        <f t="shared" si="0"/>
        <v>0</v>
      </c>
      <c r="N19" s="282"/>
      <c r="O19" s="376" t="s">
        <v>282</v>
      </c>
    </row>
    <row r="20" spans="1:15" s="1" customFormat="1" ht="15" customHeight="1" x14ac:dyDescent="0.2">
      <c r="A20" s="564" t="s">
        <v>210</v>
      </c>
      <c r="B20" s="565"/>
      <c r="C20" s="565"/>
      <c r="D20" s="565"/>
      <c r="E20" s="565"/>
      <c r="F20" s="565"/>
      <c r="G20" s="265"/>
      <c r="H20" s="265"/>
      <c r="I20" s="278" t="s">
        <v>36</v>
      </c>
      <c r="J20" s="265">
        <v>1300000</v>
      </c>
      <c r="K20" s="283"/>
      <c r="L20" s="265"/>
      <c r="M20" s="268">
        <f t="shared" si="0"/>
        <v>0</v>
      </c>
      <c r="N20" s="284"/>
      <c r="O20" s="376" t="s">
        <v>282</v>
      </c>
    </row>
    <row r="21" spans="1:15" s="1" customFormat="1" ht="15" customHeight="1" x14ac:dyDescent="0.2">
      <c r="A21" s="564" t="s">
        <v>211</v>
      </c>
      <c r="B21" s="565"/>
      <c r="C21" s="565"/>
      <c r="D21" s="565"/>
      <c r="E21" s="565"/>
      <c r="F21" s="565"/>
      <c r="G21" s="269"/>
      <c r="H21" s="269"/>
      <c r="I21" s="278" t="s">
        <v>36</v>
      </c>
      <c r="J21" s="269">
        <v>1300000</v>
      </c>
      <c r="K21" s="279"/>
      <c r="L21" s="269"/>
      <c r="M21" s="271">
        <f t="shared" si="0"/>
        <v>0</v>
      </c>
      <c r="N21" s="285"/>
      <c r="O21" s="376" t="s">
        <v>282</v>
      </c>
    </row>
    <row r="22" spans="1:15" s="1" customFormat="1" ht="15" customHeight="1" x14ac:dyDescent="0.2">
      <c r="A22" s="564" t="s">
        <v>212</v>
      </c>
      <c r="B22" s="565"/>
      <c r="C22" s="565"/>
      <c r="D22" s="565"/>
      <c r="E22" s="565"/>
      <c r="F22" s="565"/>
      <c r="G22" s="265"/>
      <c r="H22" s="265"/>
      <c r="I22" s="278" t="s">
        <v>36</v>
      </c>
      <c r="J22" s="283">
        <v>1300000</v>
      </c>
      <c r="K22" s="283"/>
      <c r="L22" s="265"/>
      <c r="M22" s="268">
        <f t="shared" si="0"/>
        <v>0</v>
      </c>
      <c r="N22" s="284"/>
      <c r="O22" s="376" t="s">
        <v>282</v>
      </c>
    </row>
    <row r="23" spans="1:15" s="1" customFormat="1" ht="15" customHeight="1" x14ac:dyDescent="0.2">
      <c r="A23" s="573" t="s">
        <v>213</v>
      </c>
      <c r="B23" s="574"/>
      <c r="C23" s="574"/>
      <c r="D23" s="574"/>
      <c r="E23" s="574"/>
      <c r="F23" s="574"/>
      <c r="G23" s="265"/>
      <c r="H23" s="287"/>
      <c r="I23" s="278" t="s">
        <v>36</v>
      </c>
      <c r="J23" s="288">
        <v>500000</v>
      </c>
      <c r="K23" s="289"/>
      <c r="L23" s="289"/>
      <c r="M23" s="290">
        <f t="shared" si="0"/>
        <v>0</v>
      </c>
      <c r="N23" s="291"/>
      <c r="O23" s="376" t="s">
        <v>282</v>
      </c>
    </row>
    <row r="24" spans="1:15" s="1" customFormat="1" ht="15" customHeight="1" x14ac:dyDescent="0.2">
      <c r="A24" s="292" t="s">
        <v>214</v>
      </c>
      <c r="B24" s="293"/>
      <c r="C24" s="293"/>
      <c r="D24" s="293"/>
      <c r="E24" s="293"/>
      <c r="F24" s="294"/>
      <c r="G24" s="269"/>
      <c r="H24" s="269"/>
      <c r="I24" s="295" t="s">
        <v>215</v>
      </c>
      <c r="J24" s="296">
        <v>370000</v>
      </c>
      <c r="K24" s="297"/>
      <c r="L24" s="297"/>
      <c r="M24" s="298">
        <f t="shared" si="0"/>
        <v>0.82795816216216223</v>
      </c>
      <c r="N24" s="299">
        <f>3954+100302.34+64342+18153+48643.68+47308.5+23641</f>
        <v>306344.52</v>
      </c>
      <c r="O24" s="376" t="s">
        <v>283</v>
      </c>
    </row>
    <row r="25" spans="1:15" s="1" customFormat="1" ht="15" customHeight="1" x14ac:dyDescent="0.2">
      <c r="A25" s="575" t="s">
        <v>216</v>
      </c>
      <c r="B25" s="575"/>
      <c r="C25" s="575"/>
      <c r="D25" s="575"/>
      <c r="E25" s="575"/>
      <c r="F25" s="575"/>
      <c r="G25" s="300"/>
      <c r="H25" s="300"/>
      <c r="I25" s="286" t="s">
        <v>139</v>
      </c>
      <c r="J25" s="283">
        <v>875000</v>
      </c>
      <c r="K25" s="301"/>
      <c r="L25" s="301"/>
      <c r="M25" s="268">
        <f t="shared" si="0"/>
        <v>5.7142857142857143E-3</v>
      </c>
      <c r="N25" s="302">
        <v>5000</v>
      </c>
      <c r="O25" s="130" t="s">
        <v>279</v>
      </c>
    </row>
    <row r="26" spans="1:15" s="1" customFormat="1" ht="15" customHeight="1" x14ac:dyDescent="0.2">
      <c r="A26" s="564" t="s">
        <v>217</v>
      </c>
      <c r="B26" s="565"/>
      <c r="C26" s="565"/>
      <c r="D26" s="565"/>
      <c r="E26" s="565"/>
      <c r="F26" s="565"/>
      <c r="G26" s="303"/>
      <c r="H26" s="304"/>
      <c r="I26" s="286" t="s">
        <v>139</v>
      </c>
      <c r="J26" s="283">
        <v>880000</v>
      </c>
      <c r="K26" s="301"/>
      <c r="L26" s="301"/>
      <c r="M26" s="268">
        <f t="shared" si="0"/>
        <v>5.681818181818182E-3</v>
      </c>
      <c r="N26" s="302">
        <v>5000</v>
      </c>
      <c r="O26" s="130" t="s">
        <v>279</v>
      </c>
    </row>
    <row r="27" spans="1:15" s="1" customFormat="1" ht="15" customHeight="1" x14ac:dyDescent="0.2">
      <c r="A27" s="564" t="s">
        <v>218</v>
      </c>
      <c r="B27" s="565"/>
      <c r="C27" s="565"/>
      <c r="D27" s="565"/>
      <c r="E27" s="565"/>
      <c r="F27" s="565"/>
      <c r="G27" s="305"/>
      <c r="H27" s="305"/>
      <c r="I27" s="286" t="s">
        <v>139</v>
      </c>
      <c r="J27" s="283">
        <v>625000</v>
      </c>
      <c r="K27" s="301"/>
      <c r="L27" s="301"/>
      <c r="M27" s="268">
        <f t="shared" si="0"/>
        <v>0</v>
      </c>
      <c r="N27" s="302"/>
      <c r="O27" s="130" t="s">
        <v>278</v>
      </c>
    </row>
    <row r="28" spans="1:15" s="1" customFormat="1" ht="15" customHeight="1" x14ac:dyDescent="0.2">
      <c r="A28" s="564" t="s">
        <v>219</v>
      </c>
      <c r="B28" s="565"/>
      <c r="C28" s="565"/>
      <c r="D28" s="565"/>
      <c r="E28" s="565"/>
      <c r="F28" s="565"/>
      <c r="G28" s="303"/>
      <c r="H28" s="304"/>
      <c r="I28" s="286" t="s">
        <v>139</v>
      </c>
      <c r="J28" s="283">
        <v>705000</v>
      </c>
      <c r="K28" s="301"/>
      <c r="L28" s="306"/>
      <c r="M28" s="268">
        <f t="shared" si="0"/>
        <v>1.3051617021276595E-2</v>
      </c>
      <c r="N28" s="302">
        <v>9201.39</v>
      </c>
      <c r="O28" s="130" t="s">
        <v>279</v>
      </c>
    </row>
    <row r="29" spans="1:15" s="1" customFormat="1" ht="15" customHeight="1" x14ac:dyDescent="0.2">
      <c r="A29" s="564" t="s">
        <v>220</v>
      </c>
      <c r="B29" s="565"/>
      <c r="C29" s="565"/>
      <c r="D29" s="565"/>
      <c r="E29" s="565"/>
      <c r="F29" s="565"/>
      <c r="G29" s="303"/>
      <c r="H29" s="304"/>
      <c r="I29" s="286" t="s">
        <v>90</v>
      </c>
      <c r="J29" s="283">
        <v>58000</v>
      </c>
      <c r="K29" s="301"/>
      <c r="L29" s="301"/>
      <c r="M29" s="268">
        <f t="shared" si="0"/>
        <v>0.76009862068965517</v>
      </c>
      <c r="N29" s="302">
        <f>42276+1809.72</f>
        <v>44085.72</v>
      </c>
      <c r="O29" s="376" t="s">
        <v>284</v>
      </c>
    </row>
    <row r="30" spans="1:15" s="1" customFormat="1" ht="15" customHeight="1" x14ac:dyDescent="0.2">
      <c r="A30" s="564" t="s">
        <v>221</v>
      </c>
      <c r="B30" s="565"/>
      <c r="C30" s="565"/>
      <c r="D30" s="565"/>
      <c r="E30" s="565"/>
      <c r="F30" s="565"/>
      <c r="G30" s="307"/>
      <c r="H30" s="308"/>
      <c r="I30" s="286" t="s">
        <v>90</v>
      </c>
      <c r="J30" s="283">
        <v>1000000</v>
      </c>
      <c r="K30" s="301"/>
      <c r="L30" s="309"/>
      <c r="M30" s="268">
        <f t="shared" si="0"/>
        <v>0.78397368999999995</v>
      </c>
      <c r="N30" s="310">
        <f>172449.82+162245.97+307441+34954+6086.2+100796.7</f>
        <v>783973.69</v>
      </c>
      <c r="O30" s="376" t="s">
        <v>284</v>
      </c>
    </row>
    <row r="31" spans="1:15" s="1" customFormat="1" ht="15" customHeight="1" x14ac:dyDescent="0.2">
      <c r="A31" s="564" t="s">
        <v>222</v>
      </c>
      <c r="B31" s="565"/>
      <c r="C31" s="565"/>
      <c r="D31" s="565"/>
      <c r="E31" s="565"/>
      <c r="F31" s="565"/>
      <c r="G31" s="311"/>
      <c r="H31" s="312"/>
      <c r="I31" s="286" t="s">
        <v>90</v>
      </c>
      <c r="J31" s="283">
        <v>710000</v>
      </c>
      <c r="K31" s="301"/>
      <c r="L31" s="309"/>
      <c r="M31" s="268">
        <f t="shared" si="0"/>
        <v>0.83926247887323946</v>
      </c>
      <c r="N31" s="310">
        <f>166722.86+54705+221320.5+4386+72158.33+76583.67</f>
        <v>595876.36</v>
      </c>
      <c r="O31" s="130" t="s">
        <v>285</v>
      </c>
    </row>
    <row r="32" spans="1:15" s="1" customFormat="1" ht="15" customHeight="1" x14ac:dyDescent="0.2">
      <c r="A32" s="564" t="s">
        <v>223</v>
      </c>
      <c r="B32" s="565"/>
      <c r="C32" s="565"/>
      <c r="D32" s="565"/>
      <c r="E32" s="565"/>
      <c r="F32" s="565"/>
      <c r="G32" s="305"/>
      <c r="H32" s="305"/>
      <c r="I32" s="286" t="s">
        <v>53</v>
      </c>
      <c r="J32" s="283">
        <v>1565000</v>
      </c>
      <c r="K32" s="301"/>
      <c r="L32" s="301"/>
      <c r="M32" s="268">
        <f t="shared" si="0"/>
        <v>0</v>
      </c>
      <c r="N32" s="302"/>
      <c r="O32" s="130" t="s">
        <v>278</v>
      </c>
    </row>
    <row r="33" spans="1:15" s="1" customFormat="1" ht="15" customHeight="1" x14ac:dyDescent="0.2">
      <c r="A33" s="564" t="s">
        <v>224</v>
      </c>
      <c r="B33" s="565"/>
      <c r="C33" s="565"/>
      <c r="D33" s="565"/>
      <c r="E33" s="565"/>
      <c r="F33" s="565"/>
      <c r="G33" s="303"/>
      <c r="H33" s="304"/>
      <c r="I33" s="286" t="s">
        <v>53</v>
      </c>
      <c r="J33" s="283">
        <v>1665000</v>
      </c>
      <c r="K33" s="301"/>
      <c r="L33" s="301"/>
      <c r="M33" s="268">
        <f t="shared" si="0"/>
        <v>8.8364924924924926E-3</v>
      </c>
      <c r="N33" s="302">
        <f>12239.49+2473.27</f>
        <v>14712.76</v>
      </c>
      <c r="O33" s="376" t="s">
        <v>284</v>
      </c>
    </row>
    <row r="34" spans="1:15" s="1" customFormat="1" ht="15" customHeight="1" x14ac:dyDescent="0.2">
      <c r="A34" s="564" t="s">
        <v>225</v>
      </c>
      <c r="B34" s="565"/>
      <c r="C34" s="565"/>
      <c r="D34" s="565"/>
      <c r="E34" s="565"/>
      <c r="F34" s="565"/>
      <c r="G34" s="307"/>
      <c r="H34" s="308"/>
      <c r="I34" s="286" t="s">
        <v>53</v>
      </c>
      <c r="J34" s="283">
        <v>1870000</v>
      </c>
      <c r="K34" s="309"/>
      <c r="L34" s="309"/>
      <c r="M34" s="268">
        <f t="shared" si="0"/>
        <v>0</v>
      </c>
      <c r="N34" s="310"/>
      <c r="O34" s="130" t="s">
        <v>278</v>
      </c>
    </row>
    <row r="35" spans="1:15" s="1" customFormat="1" ht="15" customHeight="1" x14ac:dyDescent="0.2">
      <c r="A35" s="564" t="s">
        <v>226</v>
      </c>
      <c r="B35" s="565"/>
      <c r="C35" s="565"/>
      <c r="D35" s="565"/>
      <c r="E35" s="565"/>
      <c r="F35" s="565"/>
      <c r="G35" s="311"/>
      <c r="H35" s="312"/>
      <c r="I35" s="286" t="s">
        <v>53</v>
      </c>
      <c r="J35" s="283">
        <v>1020000</v>
      </c>
      <c r="K35" s="309"/>
      <c r="L35" s="309"/>
      <c r="M35" s="268">
        <f t="shared" si="0"/>
        <v>9.7306960784313713E-3</v>
      </c>
      <c r="N35" s="310">
        <v>9925.31</v>
      </c>
      <c r="O35" s="130" t="s">
        <v>279</v>
      </c>
    </row>
    <row r="36" spans="1:15" s="1" customFormat="1" ht="15" customHeight="1" x14ac:dyDescent="0.2">
      <c r="A36" s="564" t="s">
        <v>227</v>
      </c>
      <c r="B36" s="565"/>
      <c r="C36" s="565"/>
      <c r="D36" s="565"/>
      <c r="E36" s="565"/>
      <c r="F36" s="565"/>
      <c r="G36" s="307"/>
      <c r="H36" s="308"/>
      <c r="I36" s="286" t="s">
        <v>53</v>
      </c>
      <c r="J36" s="283">
        <v>985000</v>
      </c>
      <c r="K36" s="309"/>
      <c r="L36" s="309"/>
      <c r="M36" s="268">
        <f t="shared" si="0"/>
        <v>0</v>
      </c>
      <c r="N36" s="313"/>
      <c r="O36" s="130" t="s">
        <v>278</v>
      </c>
    </row>
    <row r="37" spans="1:15" s="1" customFormat="1" ht="15" customHeight="1" x14ac:dyDescent="0.2">
      <c r="A37" s="564" t="s">
        <v>228</v>
      </c>
      <c r="B37" s="565"/>
      <c r="C37" s="565"/>
      <c r="D37" s="565"/>
      <c r="E37" s="565"/>
      <c r="F37" s="565"/>
      <c r="G37" s="307"/>
      <c r="H37" s="308"/>
      <c r="I37" s="286" t="s">
        <v>53</v>
      </c>
      <c r="J37" s="283">
        <v>1405000</v>
      </c>
      <c r="K37" s="309"/>
      <c r="L37" s="309"/>
      <c r="M37" s="268">
        <f t="shared" si="0"/>
        <v>0</v>
      </c>
      <c r="N37" s="313"/>
      <c r="O37" s="130" t="s">
        <v>278</v>
      </c>
    </row>
    <row r="38" spans="1:15" s="1" customFormat="1" ht="15" customHeight="1" x14ac:dyDescent="0.2">
      <c r="A38" s="564" t="s">
        <v>229</v>
      </c>
      <c r="B38" s="565"/>
      <c r="C38" s="565"/>
      <c r="D38" s="565"/>
      <c r="E38" s="565"/>
      <c r="F38" s="565"/>
      <c r="G38" s="307"/>
      <c r="H38" s="308"/>
      <c r="I38" s="286" t="s">
        <v>53</v>
      </c>
      <c r="J38" s="283">
        <v>2260000</v>
      </c>
      <c r="K38" s="309"/>
      <c r="L38" s="309"/>
      <c r="M38" s="268">
        <f t="shared" si="0"/>
        <v>4.4247787610619468E-3</v>
      </c>
      <c r="N38" s="313">
        <v>10000</v>
      </c>
      <c r="O38" s="130" t="s">
        <v>279</v>
      </c>
    </row>
    <row r="39" spans="1:15" s="1" customFormat="1" ht="15" customHeight="1" x14ac:dyDescent="0.2">
      <c r="A39" s="573" t="s">
        <v>230</v>
      </c>
      <c r="B39" s="574"/>
      <c r="C39" s="574"/>
      <c r="D39" s="574"/>
      <c r="E39" s="574"/>
      <c r="F39" s="574"/>
      <c r="G39" s="307"/>
      <c r="H39" s="308"/>
      <c r="I39" s="440" t="s">
        <v>53</v>
      </c>
      <c r="J39" s="288">
        <v>1490000</v>
      </c>
      <c r="K39" s="389"/>
      <c r="L39" s="389"/>
      <c r="M39" s="290">
        <f t="shared" si="0"/>
        <v>8.2388926174496654E-3</v>
      </c>
      <c r="N39" s="441">
        <v>12275.95</v>
      </c>
      <c r="O39" s="130" t="s">
        <v>279</v>
      </c>
    </row>
    <row r="40" spans="1:15" s="1" customFormat="1" ht="15" customHeight="1" x14ac:dyDescent="0.2">
      <c r="A40" s="575" t="s">
        <v>231</v>
      </c>
      <c r="B40" s="575"/>
      <c r="C40" s="575"/>
      <c r="D40" s="575"/>
      <c r="E40" s="575"/>
      <c r="F40" s="575"/>
      <c r="G40" s="453"/>
      <c r="H40" s="454"/>
      <c r="I40" s="286" t="s">
        <v>53</v>
      </c>
      <c r="J40" s="283">
        <v>1890000</v>
      </c>
      <c r="K40" s="309"/>
      <c r="L40" s="309"/>
      <c r="M40" s="268">
        <f t="shared" si="0"/>
        <v>9.3183227513227527E-3</v>
      </c>
      <c r="N40" s="313">
        <f>17580.84+30.79</f>
        <v>17611.63</v>
      </c>
      <c r="O40" s="130" t="s">
        <v>279</v>
      </c>
    </row>
    <row r="41" spans="1:15" s="15" customFormat="1" ht="15" customHeight="1" x14ac:dyDescent="0.2">
      <c r="A41" s="500" t="s">
        <v>10</v>
      </c>
      <c r="B41" s="501"/>
      <c r="C41" s="501"/>
      <c r="D41" s="501"/>
      <c r="E41" s="501"/>
      <c r="F41" s="501"/>
      <c r="G41" s="501"/>
      <c r="H41" s="502"/>
      <c r="I41" s="500" t="s">
        <v>11</v>
      </c>
      <c r="J41" s="436"/>
      <c r="K41" s="566" t="s">
        <v>13</v>
      </c>
      <c r="L41" s="251"/>
      <c r="M41" s="535" t="s">
        <v>31</v>
      </c>
      <c r="N41" s="569"/>
      <c r="O41" s="3"/>
    </row>
    <row r="42" spans="1:15" s="15" customFormat="1" ht="15" customHeight="1" x14ac:dyDescent="0.2">
      <c r="A42" s="503"/>
      <c r="B42" s="504"/>
      <c r="C42" s="504"/>
      <c r="D42" s="504"/>
      <c r="E42" s="504"/>
      <c r="F42" s="504"/>
      <c r="G42" s="504"/>
      <c r="H42" s="505"/>
      <c r="I42" s="503"/>
      <c r="J42" s="437" t="s">
        <v>12</v>
      </c>
      <c r="K42" s="567"/>
      <c r="L42" s="2" t="s">
        <v>14</v>
      </c>
      <c r="M42" s="2" t="s">
        <v>17</v>
      </c>
      <c r="N42" s="438" t="s">
        <v>34</v>
      </c>
      <c r="O42" s="2" t="s">
        <v>30</v>
      </c>
    </row>
    <row r="43" spans="1:15" s="15" customFormat="1" ht="15" customHeight="1" x14ac:dyDescent="0.2">
      <c r="A43" s="503"/>
      <c r="B43" s="504"/>
      <c r="C43" s="504"/>
      <c r="D43" s="504"/>
      <c r="E43" s="504"/>
      <c r="F43" s="504"/>
      <c r="G43" s="504"/>
      <c r="H43" s="505"/>
      <c r="I43" s="503"/>
      <c r="J43" s="498" t="s">
        <v>193</v>
      </c>
      <c r="K43" s="567"/>
      <c r="L43" s="2" t="s">
        <v>15</v>
      </c>
      <c r="M43" s="2" t="s">
        <v>32</v>
      </c>
      <c r="N43" s="438" t="s">
        <v>19</v>
      </c>
      <c r="O43" s="2" t="s">
        <v>35</v>
      </c>
    </row>
    <row r="44" spans="1:15" s="15" customFormat="1" ht="15" customHeight="1" x14ac:dyDescent="0.2">
      <c r="A44" s="506"/>
      <c r="B44" s="507"/>
      <c r="C44" s="507"/>
      <c r="D44" s="507"/>
      <c r="E44" s="507"/>
      <c r="F44" s="507"/>
      <c r="G44" s="507"/>
      <c r="H44" s="508"/>
      <c r="I44" s="506"/>
      <c r="J44" s="499"/>
      <c r="K44" s="568"/>
      <c r="L44" s="4" t="s">
        <v>16</v>
      </c>
      <c r="M44" s="4" t="s">
        <v>33</v>
      </c>
      <c r="N44" s="253" t="s">
        <v>20</v>
      </c>
      <c r="O44" s="4"/>
    </row>
    <row r="45" spans="1:15" s="1" customFormat="1" ht="15" customHeight="1" x14ac:dyDescent="0.2">
      <c r="A45" s="575" t="s">
        <v>232</v>
      </c>
      <c r="B45" s="575"/>
      <c r="C45" s="575"/>
      <c r="D45" s="575"/>
      <c r="E45" s="575"/>
      <c r="F45" s="575"/>
      <c r="G45" s="453"/>
      <c r="H45" s="454"/>
      <c r="I45" s="286" t="s">
        <v>53</v>
      </c>
      <c r="J45" s="283">
        <v>910000</v>
      </c>
      <c r="K45" s="309"/>
      <c r="L45" s="309"/>
      <c r="M45" s="268">
        <f t="shared" si="0"/>
        <v>7.0614945054945054E-3</v>
      </c>
      <c r="N45" s="313">
        <v>6425.96</v>
      </c>
      <c r="O45" s="130" t="s">
        <v>279</v>
      </c>
    </row>
    <row r="46" spans="1:15" s="1" customFormat="1" ht="15" hidden="1" customHeight="1" x14ac:dyDescent="0.2">
      <c r="A46" s="455"/>
      <c r="B46" s="456"/>
      <c r="C46" s="456"/>
      <c r="D46" s="456"/>
      <c r="E46" s="456"/>
      <c r="F46" s="456"/>
      <c r="G46" s="307"/>
      <c r="H46" s="308"/>
      <c r="I46" s="442"/>
      <c r="J46" s="443"/>
      <c r="K46" s="444"/>
      <c r="L46" s="444"/>
      <c r="M46" s="445"/>
      <c r="N46" s="446"/>
      <c r="O46" s="130"/>
    </row>
    <row r="47" spans="1:15" s="1" customFormat="1" ht="15" customHeight="1" x14ac:dyDescent="0.2">
      <c r="A47" s="564" t="s">
        <v>233</v>
      </c>
      <c r="B47" s="565"/>
      <c r="C47" s="565"/>
      <c r="D47" s="565"/>
      <c r="E47" s="565"/>
      <c r="F47" s="565"/>
      <c r="G47" s="307"/>
      <c r="H47" s="308"/>
      <c r="I47" s="286" t="s">
        <v>53</v>
      </c>
      <c r="J47" s="283">
        <v>1000000</v>
      </c>
      <c r="K47" s="309"/>
      <c r="L47" s="309"/>
      <c r="M47" s="268">
        <f t="shared" ref="M47:M59" si="1">+N47/J47</f>
        <v>0</v>
      </c>
      <c r="N47" s="313"/>
      <c r="O47" s="130" t="s">
        <v>278</v>
      </c>
    </row>
    <row r="48" spans="1:15" s="1" customFormat="1" ht="15" customHeight="1" x14ac:dyDescent="0.2">
      <c r="A48" s="564" t="s">
        <v>234</v>
      </c>
      <c r="B48" s="565"/>
      <c r="C48" s="565"/>
      <c r="D48" s="565"/>
      <c r="E48" s="565"/>
      <c r="F48" s="565"/>
      <c r="G48" s="307"/>
      <c r="H48" s="308"/>
      <c r="I48" s="286" t="s">
        <v>53</v>
      </c>
      <c r="J48" s="283">
        <v>645000</v>
      </c>
      <c r="K48" s="309"/>
      <c r="L48" s="309"/>
      <c r="M48" s="268">
        <f t="shared" si="1"/>
        <v>8.9254573643410846E-3</v>
      </c>
      <c r="N48" s="313">
        <f>5741.88+15.04</f>
        <v>5756.92</v>
      </c>
      <c r="O48" s="130" t="s">
        <v>279</v>
      </c>
    </row>
    <row r="49" spans="1:15" s="1" customFormat="1" ht="15" customHeight="1" x14ac:dyDescent="0.2">
      <c r="A49" s="564" t="s">
        <v>235</v>
      </c>
      <c r="B49" s="565"/>
      <c r="C49" s="565"/>
      <c r="D49" s="565"/>
      <c r="E49" s="565"/>
      <c r="F49" s="565"/>
      <c r="G49" s="307"/>
      <c r="H49" s="308"/>
      <c r="I49" s="286" t="s">
        <v>53</v>
      </c>
      <c r="J49" s="283">
        <v>755000</v>
      </c>
      <c r="K49" s="309"/>
      <c r="L49" s="309"/>
      <c r="M49" s="268">
        <f t="shared" si="1"/>
        <v>1.1051682119205299E-2</v>
      </c>
      <c r="N49" s="313">
        <f>3046.4+4751.93+545.69</f>
        <v>8344.02</v>
      </c>
      <c r="O49" s="130" t="s">
        <v>279</v>
      </c>
    </row>
    <row r="50" spans="1:15" s="1" customFormat="1" ht="15" customHeight="1" x14ac:dyDescent="0.2">
      <c r="A50" s="564" t="s">
        <v>236</v>
      </c>
      <c r="B50" s="565"/>
      <c r="C50" s="565"/>
      <c r="D50" s="565"/>
      <c r="E50" s="565"/>
      <c r="F50" s="565"/>
      <c r="G50" s="307"/>
      <c r="H50" s="308"/>
      <c r="I50" s="286" t="s">
        <v>53</v>
      </c>
      <c r="J50" s="283">
        <v>810000</v>
      </c>
      <c r="K50" s="309"/>
      <c r="L50" s="309"/>
      <c r="M50" s="268">
        <f t="shared" si="1"/>
        <v>0</v>
      </c>
      <c r="N50" s="313"/>
      <c r="O50" s="130" t="s">
        <v>278</v>
      </c>
    </row>
    <row r="51" spans="1:15" s="1" customFormat="1" ht="15" customHeight="1" x14ac:dyDescent="0.2">
      <c r="A51" s="564" t="s">
        <v>237</v>
      </c>
      <c r="B51" s="565"/>
      <c r="C51" s="565"/>
      <c r="D51" s="565"/>
      <c r="E51" s="565"/>
      <c r="F51" s="565"/>
      <c r="G51" s="307"/>
      <c r="H51" s="308"/>
      <c r="I51" s="286" t="s">
        <v>53</v>
      </c>
      <c r="J51" s="283">
        <v>795000</v>
      </c>
      <c r="K51" s="309"/>
      <c r="L51" s="309"/>
      <c r="M51" s="268">
        <f t="shared" si="1"/>
        <v>0</v>
      </c>
      <c r="N51" s="313"/>
      <c r="O51" s="130" t="s">
        <v>278</v>
      </c>
    </row>
    <row r="52" spans="1:15" s="1" customFormat="1" ht="15" customHeight="1" x14ac:dyDescent="0.2">
      <c r="A52" s="564" t="s">
        <v>238</v>
      </c>
      <c r="B52" s="565"/>
      <c r="C52" s="565"/>
      <c r="D52" s="565"/>
      <c r="E52" s="565"/>
      <c r="F52" s="565"/>
      <c r="G52" s="307"/>
      <c r="H52" s="308"/>
      <c r="I52" s="286" t="s">
        <v>239</v>
      </c>
      <c r="J52" s="283">
        <v>1000000</v>
      </c>
      <c r="K52" s="309"/>
      <c r="L52" s="309"/>
      <c r="M52" s="268">
        <f t="shared" si="1"/>
        <v>0</v>
      </c>
      <c r="N52" s="313"/>
      <c r="O52" s="376" t="s">
        <v>286</v>
      </c>
    </row>
    <row r="53" spans="1:15" s="1" customFormat="1" ht="15" customHeight="1" x14ac:dyDescent="0.2">
      <c r="A53" s="314" t="s">
        <v>240</v>
      </c>
      <c r="B53" s="315"/>
      <c r="C53" s="315"/>
      <c r="D53" s="315"/>
      <c r="E53" s="315"/>
      <c r="F53" s="315"/>
      <c r="G53" s="307"/>
      <c r="H53" s="308"/>
      <c r="I53" s="286" t="s">
        <v>239</v>
      </c>
      <c r="J53" s="283">
        <v>1500000</v>
      </c>
      <c r="K53" s="309"/>
      <c r="L53" s="309"/>
      <c r="M53" s="268">
        <f t="shared" si="1"/>
        <v>0</v>
      </c>
      <c r="N53" s="313"/>
      <c r="O53" s="414" t="s">
        <v>287</v>
      </c>
    </row>
    <row r="54" spans="1:15" s="1" customFormat="1" ht="15" customHeight="1" x14ac:dyDescent="0.2">
      <c r="A54" s="314" t="s">
        <v>241</v>
      </c>
      <c r="B54" s="315"/>
      <c r="C54" s="315"/>
      <c r="D54" s="315"/>
      <c r="E54" s="315"/>
      <c r="F54" s="315"/>
      <c r="G54" s="307"/>
      <c r="H54" s="308"/>
      <c r="I54" s="286" t="s">
        <v>36</v>
      </c>
      <c r="J54" s="283">
        <v>5000000</v>
      </c>
      <c r="K54" s="309"/>
      <c r="L54" s="309"/>
      <c r="M54" s="268">
        <f t="shared" si="1"/>
        <v>0</v>
      </c>
      <c r="N54" s="313"/>
      <c r="O54" s="376" t="s">
        <v>286</v>
      </c>
    </row>
    <row r="55" spans="1:15" s="1" customFormat="1" ht="15" customHeight="1" x14ac:dyDescent="0.2">
      <c r="A55" s="314" t="s">
        <v>242</v>
      </c>
      <c r="B55" s="315"/>
      <c r="C55" s="315"/>
      <c r="D55" s="315"/>
      <c r="E55" s="315"/>
      <c r="F55" s="315"/>
      <c r="G55" s="307"/>
      <c r="H55" s="308"/>
      <c r="I55" s="286" t="s">
        <v>239</v>
      </c>
      <c r="J55" s="283">
        <v>1000000</v>
      </c>
      <c r="K55" s="309"/>
      <c r="L55" s="309"/>
      <c r="M55" s="268">
        <f t="shared" si="1"/>
        <v>0.03</v>
      </c>
      <c r="N55" s="313">
        <v>30000</v>
      </c>
      <c r="O55" s="130" t="s">
        <v>279</v>
      </c>
    </row>
    <row r="56" spans="1:15" s="1" customFormat="1" ht="15" customHeight="1" x14ac:dyDescent="0.2">
      <c r="A56" s="314" t="s">
        <v>243</v>
      </c>
      <c r="B56" s="315"/>
      <c r="C56" s="315"/>
      <c r="D56" s="315"/>
      <c r="E56" s="315"/>
      <c r="F56" s="315"/>
      <c r="G56" s="307"/>
      <c r="H56" s="308"/>
      <c r="I56" s="286" t="s">
        <v>90</v>
      </c>
      <c r="J56" s="283">
        <v>1500000</v>
      </c>
      <c r="K56" s="309"/>
      <c r="L56" s="309"/>
      <c r="M56" s="268">
        <f t="shared" si="1"/>
        <v>0.65177552000000005</v>
      </c>
      <c r="N56" s="313">
        <f>38002.99+361638.01+98229.5+530+4856.64+173471.87+300934.27</f>
        <v>977663.28</v>
      </c>
      <c r="O56" s="130" t="s">
        <v>288</v>
      </c>
    </row>
    <row r="57" spans="1:15" s="1" customFormat="1" ht="15" customHeight="1" x14ac:dyDescent="0.2">
      <c r="A57" s="314" t="s">
        <v>244</v>
      </c>
      <c r="B57" s="315"/>
      <c r="C57" s="315"/>
      <c r="D57" s="315"/>
      <c r="E57" s="315"/>
      <c r="F57" s="315"/>
      <c r="G57" s="307"/>
      <c r="H57" s="308"/>
      <c r="I57" s="286" t="s">
        <v>90</v>
      </c>
      <c r="J57" s="283">
        <v>1000000</v>
      </c>
      <c r="K57" s="309"/>
      <c r="L57" s="309"/>
      <c r="M57" s="268">
        <f t="shared" si="1"/>
        <v>0.72444916000000004</v>
      </c>
      <c r="N57" s="313">
        <f>119359+436177.5+48504+120408.66</f>
        <v>724449.16</v>
      </c>
      <c r="O57" s="130" t="s">
        <v>289</v>
      </c>
    </row>
    <row r="58" spans="1:15" s="1" customFormat="1" ht="15" customHeight="1" x14ac:dyDescent="0.2">
      <c r="A58" s="314" t="s">
        <v>246</v>
      </c>
      <c r="B58" s="315"/>
      <c r="C58" s="315"/>
      <c r="D58" s="315"/>
      <c r="E58" s="315"/>
      <c r="F58" s="315"/>
      <c r="G58" s="307"/>
      <c r="H58" s="308"/>
      <c r="I58" s="286" t="s">
        <v>112</v>
      </c>
      <c r="J58" s="283">
        <v>1000000</v>
      </c>
      <c r="K58" s="309"/>
      <c r="L58" s="309"/>
      <c r="M58" s="268">
        <f t="shared" si="1"/>
        <v>0.91864798000000003</v>
      </c>
      <c r="N58" s="313">
        <f>184266+46523.55+10091.77+102089.07+230627.83+345049.76</f>
        <v>918647.98</v>
      </c>
      <c r="O58" s="130" t="s">
        <v>284</v>
      </c>
    </row>
    <row r="59" spans="1:15" s="1" customFormat="1" ht="15" customHeight="1" x14ac:dyDescent="0.2">
      <c r="A59" s="402" t="s">
        <v>247</v>
      </c>
      <c r="B59" s="315"/>
      <c r="C59" s="315"/>
      <c r="D59" s="315"/>
      <c r="E59" s="315"/>
      <c r="F59" s="315"/>
      <c r="G59" s="307"/>
      <c r="H59" s="308"/>
      <c r="I59" s="286" t="s">
        <v>116</v>
      </c>
      <c r="J59" s="283">
        <v>1000000</v>
      </c>
      <c r="K59" s="309"/>
      <c r="L59" s="309"/>
      <c r="M59" s="268">
        <f t="shared" si="1"/>
        <v>0.85667105999999993</v>
      </c>
      <c r="N59" s="313">
        <f>257416+57498.97+133675.98+3481.36+21877.84+382720.91</f>
        <v>856671.05999999994</v>
      </c>
      <c r="O59" s="130" t="s">
        <v>290</v>
      </c>
    </row>
    <row r="60" spans="1:15" s="1" customFormat="1" ht="15" customHeight="1" x14ac:dyDescent="0.2">
      <c r="A60" s="406"/>
      <c r="B60" s="407"/>
      <c r="C60" s="407"/>
      <c r="D60" s="407"/>
      <c r="E60" s="407"/>
      <c r="F60" s="407"/>
      <c r="G60" s="307"/>
      <c r="H60" s="308"/>
      <c r="I60" s="286"/>
      <c r="J60" s="283"/>
      <c r="K60" s="309"/>
      <c r="L60" s="309"/>
      <c r="M60" s="268"/>
      <c r="N60" s="313"/>
      <c r="O60" s="131"/>
    </row>
    <row r="61" spans="1:15" s="1" customFormat="1" ht="15" customHeight="1" x14ac:dyDescent="0.2">
      <c r="A61" s="316" t="s">
        <v>173</v>
      </c>
      <c r="B61" s="315"/>
      <c r="C61" s="315"/>
      <c r="D61" s="315"/>
      <c r="E61" s="315"/>
      <c r="F61" s="315"/>
      <c r="G61" s="307"/>
      <c r="H61" s="308"/>
      <c r="I61" s="286"/>
      <c r="J61" s="283"/>
      <c r="K61" s="309"/>
      <c r="L61" s="309"/>
      <c r="M61" s="268"/>
      <c r="N61" s="313"/>
      <c r="O61" s="131"/>
    </row>
    <row r="62" spans="1:15" s="1" customFormat="1" ht="15" customHeight="1" x14ac:dyDescent="0.2">
      <c r="A62" s="314" t="s">
        <v>248</v>
      </c>
      <c r="B62" s="315"/>
      <c r="C62" s="315"/>
      <c r="D62" s="315"/>
      <c r="E62" s="315"/>
      <c r="F62" s="315"/>
      <c r="G62" s="307"/>
      <c r="H62" s="308"/>
      <c r="I62" s="286"/>
      <c r="J62" s="283">
        <v>5000000</v>
      </c>
      <c r="K62" s="309"/>
      <c r="L62" s="309"/>
      <c r="M62" s="268">
        <f>+N62/J62</f>
        <v>0.99849120000000002</v>
      </c>
      <c r="N62" s="313">
        <f>924000+4068456</f>
        <v>4992456</v>
      </c>
      <c r="O62" s="130" t="s">
        <v>42</v>
      </c>
    </row>
    <row r="63" spans="1:15" s="1" customFormat="1" ht="15" hidden="1" customHeight="1" x14ac:dyDescent="0.2">
      <c r="A63" s="396"/>
      <c r="B63" s="373"/>
      <c r="C63" s="373"/>
      <c r="D63" s="373"/>
      <c r="E63" s="373"/>
      <c r="F63" s="373"/>
      <c r="G63" s="307"/>
      <c r="H63" s="308"/>
      <c r="I63" s="375"/>
      <c r="J63" s="279"/>
      <c r="K63" s="397"/>
      <c r="L63" s="398"/>
      <c r="M63" s="399"/>
      <c r="N63" s="400"/>
      <c r="O63" s="401"/>
    </row>
    <row r="64" spans="1:15" s="1" customFormat="1" ht="15" hidden="1" customHeight="1" x14ac:dyDescent="0.2">
      <c r="A64" s="379"/>
      <c r="B64" s="380"/>
      <c r="C64" s="380"/>
      <c r="D64" s="380"/>
      <c r="E64" s="380"/>
      <c r="F64" s="380"/>
      <c r="G64" s="391"/>
      <c r="H64" s="392"/>
      <c r="I64" s="295"/>
      <c r="J64" s="288"/>
      <c r="K64" s="393"/>
      <c r="L64" s="389"/>
      <c r="M64" s="394"/>
      <c r="N64" s="395"/>
      <c r="O64" s="390"/>
    </row>
    <row r="65" spans="1:15" s="1" customFormat="1" ht="15" hidden="1" customHeight="1" x14ac:dyDescent="0.2">
      <c r="A65" s="379"/>
      <c r="B65" s="380"/>
      <c r="C65" s="380"/>
      <c r="D65" s="380"/>
      <c r="E65" s="380"/>
      <c r="F65" s="380"/>
      <c r="G65" s="391"/>
      <c r="H65" s="392"/>
      <c r="I65" s="295"/>
      <c r="J65" s="288"/>
      <c r="K65" s="393"/>
      <c r="L65" s="389"/>
      <c r="M65" s="394"/>
      <c r="N65" s="395"/>
      <c r="O65" s="390"/>
    </row>
    <row r="66" spans="1:15" s="1" customFormat="1" ht="15" hidden="1" customHeight="1" x14ac:dyDescent="0.2">
      <c r="A66" s="379"/>
      <c r="B66" s="380"/>
      <c r="C66" s="380"/>
      <c r="D66" s="380"/>
      <c r="E66" s="380"/>
      <c r="F66" s="380"/>
      <c r="G66" s="391"/>
      <c r="H66" s="392"/>
      <c r="I66" s="295"/>
      <c r="J66" s="288"/>
      <c r="K66" s="393"/>
      <c r="L66" s="389"/>
      <c r="M66" s="394"/>
      <c r="N66" s="395"/>
      <c r="O66" s="390"/>
    </row>
    <row r="67" spans="1:15" s="1" customFormat="1" ht="15" hidden="1" customHeight="1" x14ac:dyDescent="0.2">
      <c r="A67" s="379"/>
      <c r="B67" s="380"/>
      <c r="C67" s="380"/>
      <c r="D67" s="380"/>
      <c r="E67" s="380"/>
      <c r="F67" s="380"/>
      <c r="G67" s="391"/>
      <c r="H67" s="392"/>
      <c r="I67" s="295"/>
      <c r="J67" s="288"/>
      <c r="K67" s="393"/>
      <c r="L67" s="389"/>
      <c r="M67" s="394"/>
      <c r="N67" s="395"/>
      <c r="O67" s="390"/>
    </row>
    <row r="68" spans="1:15" s="1" customFormat="1" ht="15" hidden="1" customHeight="1" x14ac:dyDescent="0.2">
      <c r="A68" s="379"/>
      <c r="B68" s="380"/>
      <c r="C68" s="380"/>
      <c r="D68" s="380"/>
      <c r="E68" s="380"/>
      <c r="F68" s="380"/>
      <c r="G68" s="391"/>
      <c r="H68" s="392"/>
      <c r="I68" s="295"/>
      <c r="J68" s="288"/>
      <c r="K68" s="393"/>
      <c r="L68" s="389"/>
      <c r="M68" s="394"/>
      <c r="N68" s="395"/>
      <c r="O68" s="390"/>
    </row>
    <row r="69" spans="1:15" s="1" customFormat="1" ht="15" hidden="1" customHeight="1" x14ac:dyDescent="0.2">
      <c r="A69" s="379"/>
      <c r="B69" s="380"/>
      <c r="C69" s="380"/>
      <c r="D69" s="380"/>
      <c r="E69" s="380"/>
      <c r="F69" s="380"/>
      <c r="G69" s="391"/>
      <c r="H69" s="392"/>
      <c r="I69" s="295"/>
      <c r="J69" s="288"/>
      <c r="K69" s="393"/>
      <c r="L69" s="389"/>
      <c r="M69" s="394"/>
      <c r="N69" s="395"/>
      <c r="O69" s="390"/>
    </row>
    <row r="70" spans="1:15" s="1" customFormat="1" ht="15" customHeight="1" x14ac:dyDescent="0.2">
      <c r="A70" s="425" t="s">
        <v>257</v>
      </c>
      <c r="B70" s="426"/>
      <c r="C70" s="426"/>
      <c r="D70" s="426"/>
      <c r="E70" s="426"/>
      <c r="F70" s="426"/>
      <c r="G70" s="391"/>
      <c r="H70" s="392"/>
      <c r="I70" s="295" t="s">
        <v>116</v>
      </c>
      <c r="J70" s="288">
        <v>2000000</v>
      </c>
      <c r="K70" s="393"/>
      <c r="L70" s="389"/>
      <c r="M70" s="268">
        <f t="shared" ref="M70:M92" si="2">+N70/J70</f>
        <v>0</v>
      </c>
      <c r="N70" s="410"/>
      <c r="O70" s="192" t="s">
        <v>291</v>
      </c>
    </row>
    <row r="71" spans="1:15" s="1" customFormat="1" ht="15" customHeight="1" x14ac:dyDescent="0.2">
      <c r="A71" s="408" t="s">
        <v>258</v>
      </c>
      <c r="B71" s="409"/>
      <c r="C71" s="409"/>
      <c r="D71" s="409"/>
      <c r="E71" s="409"/>
      <c r="F71" s="409"/>
      <c r="G71" s="391"/>
      <c r="H71" s="392"/>
      <c r="I71" s="295" t="s">
        <v>259</v>
      </c>
      <c r="J71" s="288">
        <v>1000000</v>
      </c>
      <c r="K71" s="393"/>
      <c r="L71" s="389"/>
      <c r="M71" s="268">
        <f t="shared" si="2"/>
        <v>6.4935999999999994E-2</v>
      </c>
      <c r="N71" s="410">
        <v>64936</v>
      </c>
      <c r="O71" s="192" t="s">
        <v>292</v>
      </c>
    </row>
    <row r="72" spans="1:15" s="1" customFormat="1" ht="15" customHeight="1" x14ac:dyDescent="0.2">
      <c r="A72" s="408" t="s">
        <v>260</v>
      </c>
      <c r="B72" s="409"/>
      <c r="C72" s="409"/>
      <c r="D72" s="409"/>
      <c r="E72" s="409"/>
      <c r="F72" s="409"/>
      <c r="G72" s="391"/>
      <c r="H72" s="392"/>
      <c r="I72" s="295" t="s">
        <v>164</v>
      </c>
      <c r="J72" s="288">
        <v>1500000</v>
      </c>
      <c r="K72" s="393"/>
      <c r="L72" s="389"/>
      <c r="M72" s="268">
        <f t="shared" si="2"/>
        <v>0</v>
      </c>
      <c r="N72" s="410"/>
      <c r="O72" s="130" t="s">
        <v>294</v>
      </c>
    </row>
    <row r="73" spans="1:15" s="1" customFormat="1" ht="15" customHeight="1" x14ac:dyDescent="0.2">
      <c r="A73" s="408" t="s">
        <v>261</v>
      </c>
      <c r="B73" s="409"/>
      <c r="C73" s="409"/>
      <c r="D73" s="409"/>
      <c r="E73" s="409"/>
      <c r="F73" s="409"/>
      <c r="G73" s="391"/>
      <c r="H73" s="392"/>
      <c r="I73" s="295" t="s">
        <v>164</v>
      </c>
      <c r="J73" s="288">
        <v>700000</v>
      </c>
      <c r="K73" s="393"/>
      <c r="L73" s="389"/>
      <c r="M73" s="268">
        <f t="shared" si="2"/>
        <v>0</v>
      </c>
      <c r="N73" s="410"/>
      <c r="O73" s="467" t="s">
        <v>293</v>
      </c>
    </row>
    <row r="74" spans="1:15" s="1" customFormat="1" ht="15" customHeight="1" x14ac:dyDescent="0.2">
      <c r="A74" s="408" t="s">
        <v>262</v>
      </c>
      <c r="B74" s="409"/>
      <c r="C74" s="409"/>
      <c r="D74" s="409"/>
      <c r="E74" s="409"/>
      <c r="F74" s="409"/>
      <c r="G74" s="391"/>
      <c r="H74" s="392"/>
      <c r="I74" s="295" t="s">
        <v>90</v>
      </c>
      <c r="J74" s="288">
        <v>2500000</v>
      </c>
      <c r="K74" s="393"/>
      <c r="L74" s="389"/>
      <c r="M74" s="268">
        <f t="shared" si="2"/>
        <v>0</v>
      </c>
      <c r="N74" s="410"/>
      <c r="O74" s="192" t="s">
        <v>295</v>
      </c>
    </row>
    <row r="75" spans="1:15" s="1" customFormat="1" ht="15" customHeight="1" x14ac:dyDescent="0.2">
      <c r="A75" s="408" t="s">
        <v>263</v>
      </c>
      <c r="B75" s="409"/>
      <c r="C75" s="409"/>
      <c r="D75" s="409"/>
      <c r="E75" s="409"/>
      <c r="F75" s="409"/>
      <c r="G75" s="391"/>
      <c r="H75" s="392"/>
      <c r="I75" s="295" t="s">
        <v>264</v>
      </c>
      <c r="J75" s="288">
        <v>700000</v>
      </c>
      <c r="K75" s="393"/>
      <c r="L75" s="389"/>
      <c r="M75" s="268">
        <f t="shared" si="2"/>
        <v>1</v>
      </c>
      <c r="N75" s="410">
        <v>700000</v>
      </c>
      <c r="O75" s="130" t="s">
        <v>296</v>
      </c>
    </row>
    <row r="76" spans="1:15" s="1" customFormat="1" ht="15" customHeight="1" x14ac:dyDescent="0.2">
      <c r="A76" s="408" t="s">
        <v>265</v>
      </c>
      <c r="B76" s="409"/>
      <c r="C76" s="409"/>
      <c r="D76" s="409"/>
      <c r="E76" s="409"/>
      <c r="F76" s="409"/>
      <c r="G76" s="391"/>
      <c r="H76" s="392"/>
      <c r="I76" s="295" t="s">
        <v>266</v>
      </c>
      <c r="J76" s="288">
        <v>2500000</v>
      </c>
      <c r="K76" s="393"/>
      <c r="L76" s="389"/>
      <c r="M76" s="268">
        <f t="shared" si="2"/>
        <v>0</v>
      </c>
      <c r="N76" s="410"/>
      <c r="O76" s="467" t="s">
        <v>293</v>
      </c>
    </row>
    <row r="77" spans="1:15" s="1" customFormat="1" ht="15" customHeight="1" x14ac:dyDescent="0.2">
      <c r="A77" s="408" t="s">
        <v>267</v>
      </c>
      <c r="B77" s="409"/>
      <c r="C77" s="409"/>
      <c r="D77" s="409"/>
      <c r="E77" s="409"/>
      <c r="F77" s="409"/>
      <c r="G77" s="391"/>
      <c r="H77" s="392"/>
      <c r="I77" s="295" t="s">
        <v>268</v>
      </c>
      <c r="J77" s="288">
        <v>700000</v>
      </c>
      <c r="K77" s="393"/>
      <c r="L77" s="389"/>
      <c r="M77" s="268">
        <f t="shared" si="2"/>
        <v>0</v>
      </c>
      <c r="N77" s="410"/>
      <c r="O77" s="467" t="s">
        <v>293</v>
      </c>
    </row>
    <row r="78" spans="1:15" s="1" customFormat="1" ht="22.5" customHeight="1" x14ac:dyDescent="0.2">
      <c r="A78" s="408" t="s">
        <v>105</v>
      </c>
      <c r="B78" s="409"/>
      <c r="C78" s="409"/>
      <c r="D78" s="409"/>
      <c r="E78" s="409"/>
      <c r="F78" s="409"/>
      <c r="G78" s="391"/>
      <c r="H78" s="392"/>
      <c r="I78" s="295" t="s">
        <v>124</v>
      </c>
      <c r="J78" s="288">
        <v>500000</v>
      </c>
      <c r="K78" s="393"/>
      <c r="L78" s="389"/>
      <c r="M78" s="268">
        <f t="shared" si="2"/>
        <v>0</v>
      </c>
      <c r="N78" s="410"/>
      <c r="O78" s="415" t="s">
        <v>297</v>
      </c>
    </row>
    <row r="79" spans="1:15" s="1" customFormat="1" ht="18" customHeight="1" x14ac:dyDescent="0.2">
      <c r="A79" s="564" t="s">
        <v>105</v>
      </c>
      <c r="B79" s="565"/>
      <c r="C79" s="565"/>
      <c r="D79" s="565"/>
      <c r="E79" s="565"/>
      <c r="F79" s="572"/>
      <c r="G79" s="453"/>
      <c r="H79" s="454"/>
      <c r="I79" s="286" t="s">
        <v>271</v>
      </c>
      <c r="J79" s="283">
        <v>500000</v>
      </c>
      <c r="K79" s="309"/>
      <c r="L79" s="309"/>
      <c r="M79" s="268">
        <f t="shared" si="2"/>
        <v>0</v>
      </c>
      <c r="N79" s="313"/>
      <c r="O79" s="467" t="s">
        <v>293</v>
      </c>
    </row>
    <row r="80" spans="1:15" s="15" customFormat="1" ht="15" customHeight="1" x14ac:dyDescent="0.2">
      <c r="A80" s="373"/>
      <c r="B80" s="373"/>
      <c r="C80" s="373"/>
      <c r="D80" s="373"/>
      <c r="E80" s="373"/>
      <c r="F80" s="373"/>
      <c r="G80" s="307"/>
      <c r="H80" s="447"/>
      <c r="I80" s="448"/>
      <c r="J80" s="269"/>
      <c r="K80" s="449"/>
      <c r="L80" s="449"/>
      <c r="M80" s="450"/>
      <c r="N80" s="451"/>
      <c r="O80" s="452"/>
    </row>
    <row r="81" spans="1:15" s="15" customFormat="1" ht="15" customHeight="1" x14ac:dyDescent="0.2">
      <c r="A81" s="373"/>
      <c r="B81" s="373"/>
      <c r="C81" s="373"/>
      <c r="D81" s="373"/>
      <c r="E81" s="373"/>
      <c r="F81" s="373"/>
      <c r="G81" s="307"/>
      <c r="H81" s="447"/>
      <c r="I81" s="448"/>
      <c r="J81" s="269"/>
      <c r="K81" s="449"/>
      <c r="L81" s="449"/>
      <c r="M81" s="450"/>
      <c r="N81" s="451"/>
      <c r="O81" s="452"/>
    </row>
    <row r="82" spans="1:15" s="15" customFormat="1" ht="15" customHeight="1" x14ac:dyDescent="0.2">
      <c r="A82" s="373"/>
      <c r="B82" s="373"/>
      <c r="C82" s="373"/>
      <c r="D82" s="373"/>
      <c r="E82" s="373"/>
      <c r="F82" s="373"/>
      <c r="G82" s="307"/>
      <c r="H82" s="447"/>
      <c r="I82" s="448"/>
      <c r="J82" s="269"/>
      <c r="K82" s="449"/>
      <c r="L82" s="449"/>
      <c r="M82" s="450"/>
      <c r="N82" s="451"/>
      <c r="O82" s="452"/>
    </row>
    <row r="83" spans="1:15" s="15" customFormat="1" ht="15" customHeight="1" x14ac:dyDescent="0.2">
      <c r="A83" s="373"/>
      <c r="B83" s="373"/>
      <c r="C83" s="373"/>
      <c r="D83" s="373"/>
      <c r="E83" s="373"/>
      <c r="F83" s="373"/>
      <c r="G83" s="307"/>
      <c r="H83" s="447"/>
      <c r="I83" s="448"/>
      <c r="J83" s="269"/>
      <c r="K83" s="449"/>
      <c r="L83" s="449"/>
      <c r="M83" s="450"/>
      <c r="N83" s="451"/>
      <c r="O83" s="452"/>
    </row>
    <row r="84" spans="1:15" s="15" customFormat="1" ht="15" customHeight="1" x14ac:dyDescent="0.2">
      <c r="A84" s="373"/>
      <c r="B84" s="373"/>
      <c r="C84" s="373"/>
      <c r="D84" s="373"/>
      <c r="E84" s="373"/>
      <c r="F84" s="373"/>
      <c r="G84" s="307"/>
      <c r="H84" s="447"/>
      <c r="I84" s="448"/>
      <c r="J84" s="269"/>
      <c r="K84" s="449"/>
      <c r="L84" s="449"/>
      <c r="M84" s="450"/>
      <c r="N84" s="451"/>
      <c r="O84" s="452"/>
    </row>
    <row r="85" spans="1:15" s="15" customFormat="1" ht="15" customHeight="1" x14ac:dyDescent="0.2">
      <c r="A85" s="373"/>
      <c r="B85" s="373"/>
      <c r="C85" s="373"/>
      <c r="D85" s="373"/>
      <c r="E85" s="373"/>
      <c r="F85" s="373"/>
      <c r="G85" s="307"/>
      <c r="H85" s="447"/>
      <c r="I85" s="448"/>
      <c r="J85" s="269"/>
      <c r="K85" s="449"/>
      <c r="L85" s="449"/>
      <c r="M85" s="450"/>
      <c r="N85" s="451"/>
      <c r="O85" s="452"/>
    </row>
    <row r="86" spans="1:15" s="15" customFormat="1" ht="15" customHeight="1" x14ac:dyDescent="0.2">
      <c r="A86" s="373"/>
      <c r="B86" s="373"/>
      <c r="C86" s="373"/>
      <c r="D86" s="373"/>
      <c r="E86" s="373"/>
      <c r="F86" s="373"/>
      <c r="G86" s="307"/>
      <c r="H86" s="447"/>
      <c r="I86" s="448"/>
      <c r="J86" s="269"/>
      <c r="K86" s="449"/>
      <c r="L86" s="449"/>
      <c r="M86" s="450"/>
      <c r="N86" s="451"/>
      <c r="O86" s="452"/>
    </row>
    <row r="87" spans="1:15" s="15" customFormat="1" ht="15" customHeight="1" x14ac:dyDescent="0.2">
      <c r="A87" s="500" t="s">
        <v>10</v>
      </c>
      <c r="B87" s="501"/>
      <c r="C87" s="501"/>
      <c r="D87" s="501"/>
      <c r="E87" s="501"/>
      <c r="F87" s="501"/>
      <c r="G87" s="501"/>
      <c r="H87" s="502"/>
      <c r="I87" s="500" t="s">
        <v>11</v>
      </c>
      <c r="J87" s="436"/>
      <c r="K87" s="566" t="s">
        <v>13</v>
      </c>
      <c r="L87" s="251"/>
      <c r="M87" s="535" t="s">
        <v>31</v>
      </c>
      <c r="N87" s="569"/>
      <c r="O87" s="3"/>
    </row>
    <row r="88" spans="1:15" s="15" customFormat="1" ht="15" customHeight="1" x14ac:dyDescent="0.2">
      <c r="A88" s="503"/>
      <c r="B88" s="504"/>
      <c r="C88" s="504"/>
      <c r="D88" s="504"/>
      <c r="E88" s="504"/>
      <c r="F88" s="504"/>
      <c r="G88" s="504"/>
      <c r="H88" s="505"/>
      <c r="I88" s="503"/>
      <c r="J88" s="437" t="s">
        <v>12</v>
      </c>
      <c r="K88" s="567"/>
      <c r="L88" s="2" t="s">
        <v>14</v>
      </c>
      <c r="M88" s="2" t="s">
        <v>17</v>
      </c>
      <c r="N88" s="438" t="s">
        <v>34</v>
      </c>
      <c r="O88" s="2" t="s">
        <v>30</v>
      </c>
    </row>
    <row r="89" spans="1:15" s="15" customFormat="1" ht="15" customHeight="1" x14ac:dyDescent="0.2">
      <c r="A89" s="503"/>
      <c r="B89" s="504"/>
      <c r="C89" s="504"/>
      <c r="D89" s="504"/>
      <c r="E89" s="504"/>
      <c r="F89" s="504"/>
      <c r="G89" s="504"/>
      <c r="H89" s="505"/>
      <c r="I89" s="503"/>
      <c r="J89" s="498" t="s">
        <v>193</v>
      </c>
      <c r="K89" s="567"/>
      <c r="L89" s="2" t="s">
        <v>15</v>
      </c>
      <c r="M89" s="2" t="s">
        <v>32</v>
      </c>
      <c r="N89" s="438" t="s">
        <v>19</v>
      </c>
      <c r="O89" s="2" t="s">
        <v>35</v>
      </c>
    </row>
    <row r="90" spans="1:15" s="15" customFormat="1" ht="15" customHeight="1" x14ac:dyDescent="0.2">
      <c r="A90" s="506"/>
      <c r="B90" s="507"/>
      <c r="C90" s="507"/>
      <c r="D90" s="507"/>
      <c r="E90" s="507"/>
      <c r="F90" s="507"/>
      <c r="G90" s="507"/>
      <c r="H90" s="508"/>
      <c r="I90" s="506"/>
      <c r="J90" s="499"/>
      <c r="K90" s="568"/>
      <c r="L90" s="4" t="s">
        <v>16</v>
      </c>
      <c r="M90" s="4" t="s">
        <v>33</v>
      </c>
      <c r="N90" s="253" t="s">
        <v>20</v>
      </c>
      <c r="O90" s="4"/>
    </row>
    <row r="91" spans="1:15" s="1" customFormat="1" ht="15" customHeight="1" x14ac:dyDescent="0.2">
      <c r="A91" s="564" t="s">
        <v>105</v>
      </c>
      <c r="B91" s="565"/>
      <c r="C91" s="565"/>
      <c r="D91" s="565"/>
      <c r="E91" s="565"/>
      <c r="F91" s="572"/>
      <c r="G91" s="453"/>
      <c r="H91" s="454"/>
      <c r="I91" s="286" t="s">
        <v>36</v>
      </c>
      <c r="J91" s="283">
        <v>500000</v>
      </c>
      <c r="K91" s="309"/>
      <c r="L91" s="309"/>
      <c r="M91" s="268">
        <f t="shared" si="2"/>
        <v>0</v>
      </c>
      <c r="N91" s="313"/>
      <c r="O91" s="192" t="s">
        <v>298</v>
      </c>
    </row>
    <row r="92" spans="1:15" s="1" customFormat="1" ht="15" customHeight="1" x14ac:dyDescent="0.2">
      <c r="A92" s="459" t="s">
        <v>250</v>
      </c>
      <c r="B92" s="460"/>
      <c r="C92" s="460"/>
      <c r="D92" s="460"/>
      <c r="E92" s="460"/>
      <c r="F92" s="460"/>
      <c r="G92" s="307"/>
      <c r="H92" s="308"/>
      <c r="I92" s="286" t="s">
        <v>53</v>
      </c>
      <c r="J92" s="283">
        <v>147933.82</v>
      </c>
      <c r="K92" s="309"/>
      <c r="L92" s="309"/>
      <c r="M92" s="268">
        <f t="shared" si="2"/>
        <v>0.87318072365061616</v>
      </c>
      <c r="N92" s="313">
        <f>61794+4950.96+19321.76+24812.24+18294</f>
        <v>129172.96</v>
      </c>
      <c r="O92" s="192" t="s">
        <v>284</v>
      </c>
    </row>
    <row r="93" spans="1:15" s="1" customFormat="1" ht="15" hidden="1" customHeight="1" x14ac:dyDescent="0.2">
      <c r="A93" s="459"/>
      <c r="B93" s="460"/>
      <c r="C93" s="460"/>
      <c r="D93" s="460"/>
      <c r="E93" s="460"/>
      <c r="F93" s="460"/>
      <c r="G93" s="307"/>
      <c r="H93" s="308"/>
      <c r="I93" s="286"/>
      <c r="J93" s="283"/>
      <c r="K93" s="309"/>
      <c r="L93" s="309"/>
      <c r="M93" s="268"/>
      <c r="N93" s="313"/>
      <c r="O93" s="131"/>
    </row>
    <row r="94" spans="1:15" s="1" customFormat="1" ht="15" customHeight="1" x14ac:dyDescent="0.2">
      <c r="A94" s="459" t="s">
        <v>251</v>
      </c>
      <c r="B94" s="460"/>
      <c r="C94" s="460"/>
      <c r="D94" s="460"/>
      <c r="E94" s="460"/>
      <c r="F94" s="460"/>
      <c r="G94" s="307"/>
      <c r="H94" s="308"/>
      <c r="I94" s="286" t="s">
        <v>116</v>
      </c>
      <c r="J94" s="283">
        <v>231546.6</v>
      </c>
      <c r="K94" s="309"/>
      <c r="L94" s="309"/>
      <c r="M94" s="268">
        <f t="shared" ref="M94:M99" si="3">+N94/J94</f>
        <v>0.79640288391192093</v>
      </c>
      <c r="N94" s="313">
        <f>39446+85458+43939.84+15560.54</f>
        <v>184404.38</v>
      </c>
      <c r="O94" s="192" t="s">
        <v>299</v>
      </c>
    </row>
    <row r="95" spans="1:15" s="1" customFormat="1" ht="15" customHeight="1" x14ac:dyDescent="0.2">
      <c r="A95" s="459" t="s">
        <v>252</v>
      </c>
      <c r="B95" s="460"/>
      <c r="C95" s="460"/>
      <c r="D95" s="460"/>
      <c r="E95" s="460"/>
      <c r="F95" s="460"/>
      <c r="G95" s="307"/>
      <c r="H95" s="308"/>
      <c r="I95" s="286" t="s">
        <v>53</v>
      </c>
      <c r="J95" s="283">
        <v>149098.67000000001</v>
      </c>
      <c r="K95" s="309"/>
      <c r="L95" s="309"/>
      <c r="M95" s="268">
        <f t="shared" si="3"/>
        <v>0.68608090199597349</v>
      </c>
      <c r="N95" s="313">
        <f>16915+30040+22270.4+11808.19+21260.16</f>
        <v>102293.75</v>
      </c>
      <c r="O95" s="192" t="s">
        <v>283</v>
      </c>
    </row>
    <row r="96" spans="1:15" s="1" customFormat="1" ht="15" customHeight="1" x14ac:dyDescent="0.2">
      <c r="A96" s="459" t="s">
        <v>253</v>
      </c>
      <c r="B96" s="460"/>
      <c r="C96" s="460"/>
      <c r="D96" s="460"/>
      <c r="E96" s="460"/>
      <c r="F96" s="460"/>
      <c r="G96" s="307"/>
      <c r="H96" s="308"/>
      <c r="I96" s="286" t="s">
        <v>53</v>
      </c>
      <c r="J96" s="283">
        <v>249273.02</v>
      </c>
      <c r="K96" s="309"/>
      <c r="L96" s="309"/>
      <c r="M96" s="268">
        <f t="shared" si="3"/>
        <v>0.52261287643564469</v>
      </c>
      <c r="N96" s="313">
        <f>96194.65+23414.2+1569.52+7968.12+1126.8</f>
        <v>130273.29</v>
      </c>
      <c r="O96" s="192" t="s">
        <v>299</v>
      </c>
    </row>
    <row r="97" spans="1:15" s="1" customFormat="1" ht="15" customHeight="1" x14ac:dyDescent="0.2">
      <c r="A97" s="459" t="s">
        <v>254</v>
      </c>
      <c r="B97" s="460"/>
      <c r="C97" s="460"/>
      <c r="D97" s="460"/>
      <c r="E97" s="460"/>
      <c r="F97" s="460"/>
      <c r="G97" s="307"/>
      <c r="H97" s="308"/>
      <c r="I97" s="286" t="s">
        <v>53</v>
      </c>
      <c r="J97" s="283">
        <v>221137.31</v>
      </c>
      <c r="K97" s="309"/>
      <c r="L97" s="309"/>
      <c r="M97" s="268">
        <f t="shared" si="3"/>
        <v>0.64297277560263344</v>
      </c>
      <c r="N97" s="313">
        <f>90447+36879.55+10894+2194.12+1770.6</f>
        <v>142185.26999999999</v>
      </c>
      <c r="O97" s="192" t="s">
        <v>283</v>
      </c>
    </row>
    <row r="98" spans="1:15" s="1" customFormat="1" ht="15" customHeight="1" x14ac:dyDescent="0.2">
      <c r="A98" s="459" t="s">
        <v>255</v>
      </c>
      <c r="B98" s="460"/>
      <c r="C98" s="460"/>
      <c r="D98" s="460"/>
      <c r="E98" s="460"/>
      <c r="F98" s="460"/>
      <c r="G98" s="307"/>
      <c r="H98" s="308"/>
      <c r="I98" s="286" t="s">
        <v>53</v>
      </c>
      <c r="J98" s="283">
        <v>98784.86</v>
      </c>
      <c r="K98" s="309"/>
      <c r="L98" s="309"/>
      <c r="M98" s="268">
        <f t="shared" si="3"/>
        <v>0.57447568382442415</v>
      </c>
      <c r="N98" s="313">
        <f>52489.5+4260</f>
        <v>56749.5</v>
      </c>
      <c r="O98" s="192" t="s">
        <v>283</v>
      </c>
    </row>
    <row r="99" spans="1:15" s="1" customFormat="1" ht="15" customHeight="1" x14ac:dyDescent="0.2">
      <c r="A99" s="459" t="s">
        <v>256</v>
      </c>
      <c r="B99" s="460"/>
      <c r="C99" s="460"/>
      <c r="D99" s="460"/>
      <c r="E99" s="460"/>
      <c r="F99" s="460"/>
      <c r="G99" s="307"/>
      <c r="H99" s="308"/>
      <c r="I99" s="286" t="s">
        <v>215</v>
      </c>
      <c r="J99" s="283">
        <v>118685.62</v>
      </c>
      <c r="K99" s="309"/>
      <c r="L99" s="309"/>
      <c r="M99" s="268">
        <f t="shared" si="3"/>
        <v>0.88667312855592795</v>
      </c>
      <c r="N99" s="313">
        <f>99539.24+5696.11</f>
        <v>105235.35</v>
      </c>
      <c r="O99" s="130" t="s">
        <v>300</v>
      </c>
    </row>
    <row r="100" spans="1:15" s="1" customFormat="1" ht="15" customHeight="1" x14ac:dyDescent="0.2">
      <c r="A100" s="465" t="s">
        <v>276</v>
      </c>
      <c r="B100" s="466"/>
      <c r="C100" s="466"/>
      <c r="D100" s="466"/>
      <c r="E100" s="466"/>
      <c r="F100" s="466"/>
      <c r="G100" s="307"/>
      <c r="H100" s="308"/>
      <c r="I100" s="295" t="s">
        <v>90</v>
      </c>
      <c r="J100" s="288">
        <v>8355000</v>
      </c>
      <c r="K100" s="393"/>
      <c r="L100" s="389"/>
      <c r="M100" s="268"/>
      <c r="N100" s="288"/>
      <c r="O100" s="192" t="s">
        <v>298</v>
      </c>
    </row>
    <row r="101" spans="1:15" s="1" customFormat="1" ht="15" customHeight="1" x14ac:dyDescent="0.2">
      <c r="A101" s="465" t="s">
        <v>277</v>
      </c>
      <c r="B101" s="466"/>
      <c r="C101" s="466"/>
      <c r="D101" s="466"/>
      <c r="E101" s="466"/>
      <c r="F101" s="466"/>
      <c r="G101" s="307"/>
      <c r="H101" s="308"/>
      <c r="I101" s="295" t="s">
        <v>78</v>
      </c>
      <c r="J101" s="288">
        <v>700000</v>
      </c>
      <c r="K101" s="393"/>
      <c r="L101" s="389"/>
      <c r="M101" s="268"/>
      <c r="N101" s="288"/>
      <c r="O101" s="192" t="s">
        <v>298</v>
      </c>
    </row>
    <row r="102" spans="1:15" s="1" customFormat="1" ht="15" customHeight="1" x14ac:dyDescent="0.2">
      <c r="A102" s="408"/>
      <c r="B102" s="409"/>
      <c r="C102" s="409"/>
      <c r="D102" s="409"/>
      <c r="E102" s="409"/>
      <c r="F102" s="409"/>
      <c r="G102" s="391"/>
      <c r="H102" s="392"/>
      <c r="I102" s="295"/>
      <c r="J102" s="288"/>
      <c r="K102" s="393"/>
      <c r="L102" s="389"/>
      <c r="M102" s="268"/>
      <c r="N102" s="410"/>
      <c r="O102" s="390"/>
    </row>
    <row r="103" spans="1:15" s="15" customFormat="1" ht="15" customHeight="1" x14ac:dyDescent="0.2">
      <c r="A103" s="548" t="s">
        <v>2</v>
      </c>
      <c r="B103" s="549"/>
      <c r="C103" s="549"/>
      <c r="D103" s="549"/>
      <c r="E103" s="549"/>
      <c r="F103" s="549"/>
      <c r="G103" s="549"/>
      <c r="H103" s="550"/>
      <c r="I103" s="286"/>
      <c r="J103" s="317">
        <f>SUM(J12:J101)</f>
        <v>116094459.89999999</v>
      </c>
      <c r="K103" s="301"/>
      <c r="L103" s="301"/>
      <c r="M103" s="433"/>
      <c r="N103" s="317">
        <f>SUM(N12:N101)</f>
        <v>13111010.649999999</v>
      </c>
      <c r="O103" s="416"/>
    </row>
    <row r="104" spans="1:15" s="1" customFormat="1" ht="12.75" hidden="1" customHeight="1" x14ac:dyDescent="0.2">
      <c r="A104" s="319"/>
      <c r="B104" s="320"/>
      <c r="C104" s="320"/>
      <c r="D104" s="320"/>
      <c r="E104" s="320"/>
      <c r="F104" s="320"/>
      <c r="G104" s="320"/>
      <c r="H104" s="321"/>
      <c r="I104" s="3"/>
      <c r="J104" s="3"/>
      <c r="K104" s="551" t="s">
        <v>13</v>
      </c>
      <c r="L104" s="322"/>
      <c r="M104" s="535" t="s">
        <v>21</v>
      </c>
      <c r="N104" s="536"/>
      <c r="O104" s="417"/>
    </row>
    <row r="105" spans="1:15" s="1" customFormat="1" ht="12.75" hidden="1" customHeight="1" x14ac:dyDescent="0.2">
      <c r="A105" s="252"/>
      <c r="B105" s="256"/>
      <c r="C105" s="256"/>
      <c r="D105" s="256"/>
      <c r="E105" s="256"/>
      <c r="F105" s="256"/>
      <c r="G105" s="256"/>
      <c r="H105" s="323"/>
      <c r="I105" s="2"/>
      <c r="J105" s="2"/>
      <c r="K105" s="552"/>
      <c r="L105" s="324" t="s">
        <v>14</v>
      </c>
      <c r="M105" s="3"/>
      <c r="N105" s="3" t="s">
        <v>18</v>
      </c>
      <c r="O105" s="418"/>
    </row>
    <row r="106" spans="1:15" s="1" customFormat="1" ht="12.75" hidden="1" customHeight="1" x14ac:dyDescent="0.2">
      <c r="A106" s="325" t="s">
        <v>1</v>
      </c>
      <c r="B106" s="258"/>
      <c r="C106" s="258"/>
      <c r="D106" s="258"/>
      <c r="E106" s="269"/>
      <c r="F106" s="258"/>
      <c r="G106" s="258"/>
      <c r="H106" s="326"/>
      <c r="I106" s="327"/>
      <c r="J106" s="327"/>
      <c r="K106" s="552"/>
      <c r="L106" s="324" t="s">
        <v>15</v>
      </c>
      <c r="M106" s="2" t="s">
        <v>17</v>
      </c>
      <c r="N106" s="2" t="s">
        <v>19</v>
      </c>
      <c r="O106" s="418"/>
    </row>
    <row r="107" spans="1:15" s="1" customFormat="1" ht="12.75" hidden="1" customHeight="1" x14ac:dyDescent="0.2">
      <c r="A107" s="553" t="s">
        <v>10</v>
      </c>
      <c r="B107" s="554"/>
      <c r="C107" s="554"/>
      <c r="D107" s="554"/>
      <c r="E107" s="554"/>
      <c r="F107" s="554"/>
      <c r="G107" s="554"/>
      <c r="H107" s="555"/>
      <c r="I107" s="2" t="s">
        <v>11</v>
      </c>
      <c r="J107" s="2" t="s">
        <v>12</v>
      </c>
      <c r="K107" s="552"/>
      <c r="L107" s="324" t="s">
        <v>16</v>
      </c>
      <c r="M107" s="2" t="s">
        <v>15</v>
      </c>
      <c r="N107" s="2" t="s">
        <v>20</v>
      </c>
      <c r="O107" s="418"/>
    </row>
    <row r="108" spans="1:15" s="1" customFormat="1" ht="12.75" customHeight="1" x14ac:dyDescent="0.2">
      <c r="A108" s="546" t="s">
        <v>174</v>
      </c>
      <c r="B108" s="547"/>
      <c r="C108" s="412"/>
      <c r="D108" s="412"/>
      <c r="E108" s="412"/>
      <c r="F108" s="413"/>
      <c r="G108" s="413"/>
      <c r="H108" s="427"/>
      <c r="I108" s="427"/>
      <c r="J108" s="427"/>
      <c r="K108" s="428"/>
      <c r="L108" s="342"/>
      <c r="M108" s="427"/>
      <c r="N108" s="427"/>
      <c r="O108" s="429"/>
    </row>
    <row r="109" spans="1:15" s="1" customFormat="1" ht="12.75" customHeight="1" x14ac:dyDescent="0.2">
      <c r="A109" s="463"/>
      <c r="B109" s="464"/>
      <c r="C109" s="461"/>
      <c r="D109" s="461"/>
      <c r="E109" s="461"/>
      <c r="F109" s="462"/>
      <c r="G109" s="462"/>
      <c r="H109" s="427"/>
      <c r="I109" s="427"/>
      <c r="J109" s="427"/>
      <c r="K109" s="428"/>
      <c r="L109" s="342"/>
      <c r="M109" s="427"/>
      <c r="N109" s="427"/>
      <c r="O109" s="429"/>
    </row>
    <row r="110" spans="1:15" s="1" customFormat="1" ht="15" customHeight="1" x14ac:dyDescent="0.2">
      <c r="A110" s="435" t="s">
        <v>22</v>
      </c>
      <c r="B110" s="328"/>
      <c r="C110" s="328"/>
      <c r="D110" s="328"/>
      <c r="E110" s="329"/>
      <c r="F110" s="413"/>
      <c r="G110" s="330"/>
      <c r="H110" s="331"/>
      <c r="I110" s="331"/>
      <c r="J110" s="331"/>
      <c r="K110" s="236"/>
      <c r="L110" s="236"/>
      <c r="M110" s="332"/>
      <c r="N110" s="310"/>
      <c r="O110" s="419"/>
    </row>
    <row r="111" spans="1:15" s="1" customFormat="1" ht="15" customHeight="1" x14ac:dyDescent="0.2">
      <c r="A111" s="333"/>
      <c r="B111" s="334" t="s">
        <v>23</v>
      </c>
      <c r="C111" s="334"/>
      <c r="D111" s="334"/>
      <c r="E111" s="334"/>
      <c r="F111" s="334"/>
      <c r="G111" s="335"/>
      <c r="H111" s="336"/>
      <c r="I111" s="264" t="s">
        <v>29</v>
      </c>
      <c r="J111" s="283">
        <v>28917741</v>
      </c>
      <c r="K111" s="337">
        <v>43102</v>
      </c>
      <c r="L111" s="337">
        <v>43465</v>
      </c>
      <c r="M111" s="268">
        <f>+N111/J111</f>
        <v>0.75259825758865473</v>
      </c>
      <c r="N111" s="338">
        <f>3195053.11+7751977.17+10516411.21+300000</f>
        <v>21763441.490000002</v>
      </c>
      <c r="O111" s="420" t="s">
        <v>269</v>
      </c>
    </row>
    <row r="112" spans="1:15" s="1" customFormat="1" ht="15" customHeight="1" x14ac:dyDescent="0.2">
      <c r="A112" s="339"/>
      <c r="B112" s="328" t="s">
        <v>24</v>
      </c>
      <c r="C112" s="328"/>
      <c r="D112" s="328"/>
      <c r="E112" s="328"/>
      <c r="F112" s="328"/>
      <c r="G112" s="335"/>
      <c r="H112" s="336"/>
      <c r="I112" s="264" t="s">
        <v>29</v>
      </c>
      <c r="J112" s="283">
        <v>28584229</v>
      </c>
      <c r="K112" s="337">
        <v>43102</v>
      </c>
      <c r="L112" s="337">
        <v>43465</v>
      </c>
      <c r="M112" s="268">
        <f>+N112/J112</f>
        <v>0.7789536873637557</v>
      </c>
      <c r="N112" s="302">
        <f>3481666.22+8382307.19+10081087.56+300000+20729.61</f>
        <v>22265790.579999998</v>
      </c>
      <c r="O112" s="420" t="s">
        <v>269</v>
      </c>
    </row>
    <row r="113" spans="1:15" s="1" customFormat="1" ht="15" customHeight="1" x14ac:dyDescent="0.2">
      <c r="A113" s="339"/>
      <c r="B113" s="328" t="s">
        <v>249</v>
      </c>
      <c r="C113" s="328"/>
      <c r="D113" s="328"/>
      <c r="E113" s="328"/>
      <c r="F113" s="336"/>
      <c r="G113" s="340"/>
      <c r="H113" s="326"/>
      <c r="I113" s="403"/>
      <c r="J113" s="283">
        <v>5000000</v>
      </c>
      <c r="K113" s="337"/>
      <c r="L113" s="337"/>
      <c r="M113" s="268">
        <f>+N113/J113</f>
        <v>0.94532844199999999</v>
      </c>
      <c r="N113" s="302">
        <f>762735+2054504.8+507810.4+279112+1122480.01</f>
        <v>4726642.21</v>
      </c>
      <c r="O113" s="420" t="s">
        <v>269</v>
      </c>
    </row>
    <row r="114" spans="1:15" s="1" customFormat="1" ht="15" customHeight="1" x14ac:dyDescent="0.2">
      <c r="A114" s="339"/>
      <c r="B114" s="328"/>
      <c r="C114" s="328"/>
      <c r="D114" s="328"/>
      <c r="E114" s="328"/>
      <c r="F114" s="336"/>
      <c r="G114" s="340"/>
      <c r="H114" s="326"/>
      <c r="I114" s="411"/>
      <c r="J114" s="283"/>
      <c r="K114" s="337"/>
      <c r="L114" s="337"/>
      <c r="M114" s="268"/>
      <c r="N114" s="302"/>
      <c r="O114" s="130"/>
    </row>
    <row r="115" spans="1:15" s="1" customFormat="1" ht="15" customHeight="1" x14ac:dyDescent="0.2">
      <c r="A115" s="548" t="s">
        <v>2</v>
      </c>
      <c r="B115" s="549"/>
      <c r="C115" s="549"/>
      <c r="D115" s="549"/>
      <c r="E115" s="549"/>
      <c r="F115" s="549"/>
      <c r="G115" s="549"/>
      <c r="H115" s="550"/>
      <c r="I115" s="411"/>
      <c r="J115" s="317">
        <f>SUM(J111:J114)</f>
        <v>62501970</v>
      </c>
      <c r="K115" s="337"/>
      <c r="L115" s="337"/>
      <c r="M115" s="433"/>
      <c r="N115" s="317">
        <f>SUM(N111:N114)</f>
        <v>48755874.280000001</v>
      </c>
      <c r="O115" s="130"/>
    </row>
    <row r="116" spans="1:15" s="1" customFormat="1" ht="15" hidden="1" customHeight="1" x14ac:dyDescent="0.2">
      <c r="A116" s="339"/>
      <c r="B116" s="328"/>
      <c r="C116" s="328"/>
      <c r="D116" s="328"/>
      <c r="E116" s="328"/>
      <c r="F116" s="336"/>
      <c r="G116" s="340"/>
      <c r="H116" s="326"/>
      <c r="I116" s="264"/>
      <c r="J116" s="283"/>
      <c r="K116" s="341"/>
      <c r="L116" s="341"/>
      <c r="M116" s="268"/>
      <c r="N116" s="302"/>
      <c r="O116" s="420"/>
    </row>
    <row r="117" spans="1:15" s="1" customFormat="1" ht="15" customHeight="1" x14ac:dyDescent="0.2">
      <c r="A117" s="343" t="s">
        <v>172</v>
      </c>
      <c r="B117" s="344"/>
      <c r="C117" s="258"/>
      <c r="D117" s="258"/>
      <c r="E117" s="258"/>
      <c r="F117" s="258"/>
      <c r="G117" s="340"/>
      <c r="H117" s="326"/>
      <c r="I117" s="264"/>
      <c r="J117" s="283"/>
      <c r="K117" s="341"/>
      <c r="L117" s="341"/>
      <c r="M117" s="268"/>
      <c r="N117" s="302"/>
      <c r="O117" s="420"/>
    </row>
    <row r="118" spans="1:15" s="1" customFormat="1" ht="15" customHeight="1" x14ac:dyDescent="0.2">
      <c r="A118" s="339"/>
      <c r="B118" s="345" t="s">
        <v>26</v>
      </c>
      <c r="C118" s="328"/>
      <c r="D118" s="328"/>
      <c r="E118" s="328"/>
      <c r="F118" s="346"/>
      <c r="G118" s="258"/>
      <c r="H118" s="347"/>
      <c r="I118" s="348"/>
      <c r="J118" s="348"/>
      <c r="K118" s="349"/>
      <c r="L118" s="349"/>
      <c r="M118" s="350"/>
      <c r="N118" s="342"/>
      <c r="O118" s="421"/>
    </row>
    <row r="119" spans="1:15" s="1" customFormat="1" ht="15" customHeight="1" x14ac:dyDescent="0.2">
      <c r="A119" s="339"/>
      <c r="B119" s="345" t="s">
        <v>25</v>
      </c>
      <c r="C119" s="328"/>
      <c r="D119" s="345"/>
      <c r="E119" s="328"/>
      <c r="F119" s="328"/>
      <c r="G119" s="328"/>
      <c r="H119" s="351"/>
      <c r="I119" s="348"/>
      <c r="J119" s="352"/>
      <c r="K119" s="353"/>
      <c r="L119" s="353"/>
      <c r="M119" s="354"/>
      <c r="N119" s="355"/>
      <c r="O119" s="422"/>
    </row>
    <row r="120" spans="1:15" s="1" customFormat="1" ht="15" customHeight="1" x14ac:dyDescent="0.2">
      <c r="A120" s="356"/>
      <c r="B120" s="345"/>
      <c r="C120" s="328" t="s">
        <v>6</v>
      </c>
      <c r="D120" s="328"/>
      <c r="E120" s="328"/>
      <c r="F120" s="328"/>
      <c r="G120" s="328"/>
      <c r="H120" s="357"/>
      <c r="I120" s="348"/>
      <c r="J120" s="358">
        <v>23673930</v>
      </c>
      <c r="K120" s="359"/>
      <c r="L120" s="359"/>
      <c r="M120" s="268">
        <f>+N120/J120</f>
        <v>0.5449518326699454</v>
      </c>
      <c r="N120" s="302">
        <f>898585.08+2693752.64+4093379.91+213493.43+5001940.48</f>
        <v>12901151.540000001</v>
      </c>
      <c r="O120" s="423" t="s">
        <v>270</v>
      </c>
    </row>
    <row r="121" spans="1:15" s="1" customFormat="1" ht="15" customHeight="1" x14ac:dyDescent="0.2">
      <c r="A121" s="339"/>
      <c r="B121" s="328"/>
      <c r="C121" s="328" t="s">
        <v>0</v>
      </c>
      <c r="D121" s="328"/>
      <c r="E121" s="328"/>
      <c r="F121" s="328"/>
      <c r="G121" s="328"/>
      <c r="H121" s="357"/>
      <c r="I121" s="348"/>
      <c r="J121" s="358">
        <v>88795653</v>
      </c>
      <c r="K121" s="360"/>
      <c r="L121" s="360"/>
      <c r="M121" s="268">
        <f>+N121/J121</f>
        <v>0.70459398772595327</v>
      </c>
      <c r="N121" s="302">
        <f>6795066.96+55769816.28</f>
        <v>62564883.240000002</v>
      </c>
      <c r="O121" s="423" t="s">
        <v>270</v>
      </c>
    </row>
    <row r="122" spans="1:15" s="1" customFormat="1" ht="15" hidden="1" customHeight="1" x14ac:dyDescent="0.2">
      <c r="A122" s="339"/>
      <c r="B122" s="328"/>
      <c r="C122" s="328"/>
      <c r="D122" s="328"/>
      <c r="E122" s="328"/>
      <c r="F122" s="328"/>
      <c r="G122" s="328"/>
      <c r="H122" s="357"/>
      <c r="I122" s="348"/>
      <c r="J122" s="358"/>
      <c r="K122" s="360"/>
      <c r="L122" s="360"/>
      <c r="M122" s="268"/>
      <c r="N122" s="302"/>
      <c r="O122" s="423"/>
    </row>
    <row r="123" spans="1:15" s="1" customFormat="1" ht="15" hidden="1" customHeight="1" x14ac:dyDescent="0.2">
      <c r="A123" s="339"/>
      <c r="B123" s="328"/>
      <c r="C123" s="328"/>
      <c r="D123" s="328"/>
      <c r="E123" s="328"/>
      <c r="F123" s="328"/>
      <c r="G123" s="328"/>
      <c r="H123" s="357"/>
      <c r="I123" s="348"/>
      <c r="J123" s="358"/>
      <c r="K123" s="360"/>
      <c r="L123" s="360"/>
      <c r="M123" s="268"/>
      <c r="N123" s="302"/>
      <c r="O123" s="423"/>
    </row>
    <row r="124" spans="1:15" s="1" customFormat="1" ht="15" hidden="1" customHeight="1" x14ac:dyDescent="0.2">
      <c r="A124" s="339"/>
      <c r="B124" s="328"/>
      <c r="C124" s="328"/>
      <c r="D124" s="328"/>
      <c r="E124" s="328"/>
      <c r="F124" s="328"/>
      <c r="G124" s="328"/>
      <c r="H124" s="357"/>
      <c r="I124" s="348"/>
      <c r="J124" s="358"/>
      <c r="K124" s="360"/>
      <c r="L124" s="360"/>
      <c r="M124" s="268"/>
      <c r="N124" s="302"/>
      <c r="O124" s="423"/>
    </row>
    <row r="125" spans="1:15" s="1" customFormat="1" ht="15" hidden="1" customHeight="1" x14ac:dyDescent="0.2">
      <c r="A125" s="339"/>
      <c r="B125" s="328"/>
      <c r="C125" s="328"/>
      <c r="D125" s="328"/>
      <c r="E125" s="328"/>
      <c r="F125" s="328"/>
      <c r="G125" s="328"/>
      <c r="H125" s="357"/>
      <c r="I125" s="348"/>
      <c r="J125" s="358"/>
      <c r="K125" s="360"/>
      <c r="L125" s="360"/>
      <c r="M125" s="268"/>
      <c r="N125" s="302"/>
      <c r="O125" s="423"/>
    </row>
    <row r="126" spans="1:15" s="1" customFormat="1" ht="15" customHeight="1" x14ac:dyDescent="0.2">
      <c r="A126" s="548" t="s">
        <v>2</v>
      </c>
      <c r="B126" s="549"/>
      <c r="C126" s="549"/>
      <c r="D126" s="549"/>
      <c r="E126" s="549"/>
      <c r="F126" s="549"/>
      <c r="G126" s="549"/>
      <c r="H126" s="550"/>
      <c r="I126" s="348"/>
      <c r="J126" s="430">
        <f>SUM(J120:J125)</f>
        <v>112469583</v>
      </c>
      <c r="K126" s="360"/>
      <c r="L126" s="360"/>
      <c r="M126" s="433"/>
      <c r="N126" s="431">
        <f>SUM(N120:N125)</f>
        <v>75466034.780000001</v>
      </c>
      <c r="O126" s="423"/>
    </row>
    <row r="127" spans="1:15" s="1" customFormat="1" ht="15" hidden="1" customHeight="1" x14ac:dyDescent="0.2">
      <c r="A127" s="333"/>
      <c r="B127" s="361"/>
      <c r="C127" s="361"/>
      <c r="D127" s="361"/>
      <c r="E127" s="361"/>
      <c r="F127" s="361"/>
      <c r="G127" s="362"/>
      <c r="H127" s="258"/>
      <c r="I127" s="363"/>
      <c r="J127" s="364"/>
      <c r="K127" s="333"/>
      <c r="L127" s="363"/>
      <c r="M127" s="318"/>
      <c r="N127" s="365"/>
      <c r="O127" s="424"/>
    </row>
    <row r="128" spans="1:15" s="1" customFormat="1" ht="15" customHeight="1" x14ac:dyDescent="0.2">
      <c r="A128" s="548" t="s">
        <v>8</v>
      </c>
      <c r="B128" s="549"/>
      <c r="C128" s="549"/>
      <c r="D128" s="549"/>
      <c r="E128" s="549"/>
      <c r="F128" s="550"/>
      <c r="G128" s="366"/>
      <c r="H128" s="307"/>
      <c r="I128" s="363"/>
      <c r="J128" s="367">
        <f>+J103+J115+J126</f>
        <v>291066012.89999998</v>
      </c>
      <c r="K128" s="333"/>
      <c r="L128" s="363"/>
      <c r="M128" s="434"/>
      <c r="N128" s="432">
        <f>+N103+N115+N126</f>
        <v>137332919.71000001</v>
      </c>
      <c r="O128" s="424"/>
    </row>
    <row r="129" spans="1:15" s="1" customFormat="1" ht="15" hidden="1" customHeight="1" x14ac:dyDescent="0.2">
      <c r="A129" s="258"/>
      <c r="B129" s="258"/>
      <c r="C129" s="258"/>
      <c r="D129" s="258"/>
      <c r="E129" s="258"/>
      <c r="F129" s="258"/>
      <c r="G129" s="258"/>
      <c r="H129" s="258"/>
      <c r="I129" s="258"/>
      <c r="J129" s="258"/>
      <c r="K129" s="258"/>
      <c r="L129" s="258"/>
      <c r="M129" s="258"/>
      <c r="N129" s="255"/>
      <c r="O129" s="258"/>
    </row>
    <row r="130" spans="1:15" s="1" customFormat="1" ht="15" hidden="1" customHeight="1" x14ac:dyDescent="0.2">
      <c r="A130" s="258"/>
      <c r="B130" s="258"/>
      <c r="C130" s="258"/>
      <c r="D130" s="258"/>
      <c r="E130" s="258"/>
      <c r="F130" s="258"/>
      <c r="G130" s="258"/>
      <c r="H130" s="258"/>
      <c r="I130" s="258"/>
      <c r="J130" s="258"/>
      <c r="K130" s="258"/>
      <c r="L130" s="258"/>
      <c r="M130" s="258"/>
      <c r="N130" s="374"/>
      <c r="O130" s="258"/>
    </row>
    <row r="131" spans="1:15" s="1" customFormat="1" ht="15" hidden="1" customHeight="1" x14ac:dyDescent="0.2">
      <c r="A131" s="258"/>
      <c r="B131" s="258"/>
      <c r="C131" s="258"/>
      <c r="D131" s="258"/>
      <c r="E131" s="258"/>
      <c r="F131" s="258"/>
      <c r="G131" s="258"/>
      <c r="H131" s="258"/>
      <c r="I131" s="258"/>
      <c r="J131" s="258"/>
      <c r="K131" s="258"/>
      <c r="L131" s="258"/>
      <c r="M131" s="258"/>
      <c r="N131" s="374"/>
      <c r="O131" s="258"/>
    </row>
    <row r="132" spans="1:15" s="1" customFormat="1" ht="15" customHeight="1" x14ac:dyDescent="0.2">
      <c r="A132" s="344" t="s">
        <v>194</v>
      </c>
      <c r="B132" s="258"/>
      <c r="C132" s="258"/>
      <c r="D132" s="258"/>
      <c r="E132" s="258"/>
      <c r="F132" s="258"/>
      <c r="G132" s="258"/>
      <c r="H132" s="258"/>
      <c r="I132" s="258"/>
      <c r="J132" s="258"/>
      <c r="K132" s="258"/>
      <c r="L132" s="258"/>
      <c r="M132" s="439" t="s">
        <v>273</v>
      </c>
      <c r="N132" s="384"/>
      <c r="O132" s="258"/>
    </row>
    <row r="133" spans="1:15" s="1" customFormat="1" ht="15" customHeight="1" x14ac:dyDescent="0.2">
      <c r="A133" s="344"/>
      <c r="B133" s="344"/>
      <c r="C133" s="344"/>
      <c r="D133" s="344"/>
      <c r="E133" s="344"/>
      <c r="F133" s="258"/>
      <c r="G133" s="258"/>
      <c r="H133" s="258"/>
      <c r="I133" s="258"/>
      <c r="J133" s="439" t="s">
        <v>193</v>
      </c>
      <c r="K133" s="258"/>
      <c r="L133" s="258"/>
      <c r="M133" s="439" t="s">
        <v>193</v>
      </c>
      <c r="N133" s="439" t="s">
        <v>272</v>
      </c>
      <c r="O133" s="258"/>
    </row>
    <row r="134" spans="1:15" s="1" customFormat="1" ht="15" customHeight="1" x14ac:dyDescent="0.2">
      <c r="A134" s="344"/>
      <c r="B134" s="344">
        <v>1918</v>
      </c>
      <c r="C134" s="344" t="s">
        <v>195</v>
      </c>
      <c r="D134" s="344"/>
      <c r="E134" s="344"/>
      <c r="F134" s="258"/>
      <c r="G134" s="258"/>
      <c r="H134" s="258"/>
      <c r="I134" s="258"/>
      <c r="J134" s="269">
        <v>116094459.90000001</v>
      </c>
      <c r="K134" s="258"/>
      <c r="L134" s="258"/>
      <c r="O134" s="259"/>
    </row>
    <row r="135" spans="1:15" s="1" customFormat="1" ht="15" customHeight="1" x14ac:dyDescent="0.2">
      <c r="A135" s="344"/>
      <c r="B135" s="344"/>
      <c r="C135" s="344" t="s">
        <v>302</v>
      </c>
      <c r="D135" s="344"/>
      <c r="E135" s="344"/>
      <c r="F135" s="258"/>
      <c r="G135" s="258"/>
      <c r="H135" s="258"/>
      <c r="I135" s="258"/>
      <c r="J135" s="470">
        <v>-9055000</v>
      </c>
      <c r="L135" s="258"/>
      <c r="O135" s="259"/>
    </row>
    <row r="136" spans="1:15" s="1" customFormat="1" ht="15" customHeight="1" x14ac:dyDescent="0.2">
      <c r="A136" s="344"/>
      <c r="B136" s="344"/>
      <c r="C136" s="344"/>
      <c r="D136" s="344"/>
      <c r="E136" s="344"/>
      <c r="F136" s="258"/>
      <c r="G136" s="258"/>
      <c r="H136" s="258"/>
      <c r="I136" s="258"/>
      <c r="J136" s="269">
        <f>SUM(J134:J135)</f>
        <v>107039459.90000001</v>
      </c>
      <c r="K136" s="269"/>
      <c r="L136" s="258"/>
      <c r="M136" s="457">
        <f>+N136/J136</f>
        <v>0.12248763831813766</v>
      </c>
      <c r="N136" s="285">
        <v>13111010.65</v>
      </c>
      <c r="O136" s="259"/>
    </row>
    <row r="137" spans="1:15" s="1" customFormat="1" ht="15" customHeight="1" x14ac:dyDescent="0.2">
      <c r="A137" s="344"/>
      <c r="B137" s="344">
        <v>8917</v>
      </c>
      <c r="C137" s="344" t="s">
        <v>196</v>
      </c>
      <c r="D137" s="344"/>
      <c r="E137" s="344"/>
      <c r="F137" s="258"/>
      <c r="G137" s="258"/>
      <c r="H137" s="258"/>
      <c r="I137" s="258"/>
      <c r="J137" s="269">
        <v>62501970</v>
      </c>
      <c r="K137" s="258"/>
      <c r="L137" s="258"/>
      <c r="M137" s="457">
        <v>0.78</v>
      </c>
      <c r="N137" s="285">
        <v>48755874.280000001</v>
      </c>
      <c r="O137" s="258"/>
    </row>
    <row r="138" spans="1:15" s="1" customFormat="1" ht="15" customHeight="1" x14ac:dyDescent="0.2">
      <c r="A138" s="344"/>
      <c r="B138" s="344">
        <v>9911</v>
      </c>
      <c r="C138" s="344" t="s">
        <v>274</v>
      </c>
      <c r="D138" s="344"/>
      <c r="E138" s="344"/>
      <c r="F138" s="258"/>
      <c r="G138" s="258"/>
      <c r="H138" s="258"/>
      <c r="I138" s="258"/>
      <c r="J138" s="470">
        <v>112469583</v>
      </c>
      <c r="K138" s="258"/>
      <c r="L138" s="258"/>
      <c r="M138" s="457">
        <v>0.67</v>
      </c>
      <c r="N138" s="285">
        <v>75466034.780000001</v>
      </c>
      <c r="O138" s="258"/>
    </row>
    <row r="139" spans="1:15" s="1" customFormat="1" ht="15" customHeight="1" x14ac:dyDescent="0.2">
      <c r="A139" s="344"/>
      <c r="B139" s="344"/>
      <c r="C139" s="344" t="s">
        <v>197</v>
      </c>
      <c r="D139" s="344"/>
      <c r="E139" s="344"/>
      <c r="F139" s="258"/>
      <c r="G139" s="258"/>
      <c r="H139" s="258"/>
      <c r="I139" s="258"/>
      <c r="J139" s="386">
        <f>SUM(J136:J138)</f>
        <v>282011012.89999998</v>
      </c>
      <c r="K139" s="258"/>
      <c r="L139" s="258"/>
      <c r="M139" s="458"/>
      <c r="N139" s="387"/>
      <c r="O139" s="258"/>
    </row>
    <row r="140" spans="1:15" s="1" customFormat="1" ht="15" customHeight="1" x14ac:dyDescent="0.2">
      <c r="A140" s="344"/>
    </row>
    <row r="141" spans="1:15" s="1" customFormat="1" ht="15" customHeight="1" x14ac:dyDescent="0.2">
      <c r="A141" s="344"/>
    </row>
    <row r="142" spans="1:15" s="1" customFormat="1" ht="15" customHeight="1" x14ac:dyDescent="0.2">
      <c r="A142" s="344"/>
      <c r="B142" s="344"/>
      <c r="C142" s="344"/>
      <c r="D142" s="344"/>
      <c r="E142" s="344"/>
      <c r="F142" s="258"/>
      <c r="G142" s="258"/>
      <c r="H142" s="258"/>
      <c r="I142" s="258"/>
      <c r="J142" s="386"/>
      <c r="K142" s="258"/>
      <c r="L142" s="258"/>
      <c r="M142" s="458"/>
      <c r="N142" s="387"/>
      <c r="O142" s="258"/>
    </row>
    <row r="143" spans="1:15" s="15" customFormat="1" ht="13.5" x14ac:dyDescent="0.2">
      <c r="A143" s="543" t="s">
        <v>3</v>
      </c>
      <c r="B143" s="544"/>
      <c r="C143" s="544"/>
      <c r="D143" s="544"/>
      <c r="E143" s="544"/>
      <c r="F143" s="544"/>
      <c r="G143" s="544"/>
      <c r="H143" s="544"/>
      <c r="I143" s="544"/>
      <c r="J143" s="544"/>
      <c r="K143" s="544"/>
      <c r="L143" s="544"/>
      <c r="M143" s="544"/>
      <c r="N143" s="544"/>
      <c r="O143" s="545"/>
    </row>
    <row r="144" spans="1:15" s="15" customFormat="1" ht="13.5" x14ac:dyDescent="0.2">
      <c r="A144" s="540" t="s">
        <v>4</v>
      </c>
      <c r="B144" s="541"/>
      <c r="C144" s="541"/>
      <c r="D144" s="541"/>
      <c r="E144" s="541"/>
      <c r="F144" s="541"/>
      <c r="G144" s="541"/>
      <c r="H144" s="541"/>
      <c r="I144" s="541"/>
      <c r="J144" s="541"/>
      <c r="K144" s="541"/>
      <c r="L144" s="541"/>
      <c r="M144" s="541"/>
      <c r="N144" s="541"/>
      <c r="O144" s="542"/>
    </row>
    <row r="145" spans="1:15" s="15" customFormat="1" x14ac:dyDescent="0.2">
      <c r="A145" s="537" t="s">
        <v>5</v>
      </c>
      <c r="B145" s="538"/>
      <c r="C145" s="538"/>
      <c r="D145" s="538"/>
      <c r="E145" s="538"/>
      <c r="F145" s="538"/>
      <c r="G145" s="538"/>
      <c r="H145" s="538"/>
      <c r="I145" s="538"/>
      <c r="J145" s="538"/>
      <c r="K145" s="538"/>
      <c r="L145" s="538"/>
      <c r="M145" s="538"/>
      <c r="N145" s="538"/>
      <c r="O145" s="539"/>
    </row>
    <row r="146" spans="1:15" s="15" customFormat="1" ht="13.5" x14ac:dyDescent="0.2">
      <c r="A146" s="532" t="s">
        <v>9</v>
      </c>
      <c r="B146" s="533"/>
      <c r="C146" s="533"/>
      <c r="D146" s="533"/>
      <c r="E146" s="533"/>
      <c r="F146" s="533"/>
      <c r="G146" s="533"/>
      <c r="H146" s="533"/>
      <c r="I146" s="533"/>
      <c r="J146" s="533"/>
      <c r="K146" s="533"/>
      <c r="L146" s="533"/>
      <c r="M146" s="533"/>
      <c r="N146" s="533"/>
      <c r="O146" s="534"/>
    </row>
    <row r="147" spans="1:15" s="15" customFormat="1" x14ac:dyDescent="0.2">
      <c r="A147" s="506" t="s">
        <v>301</v>
      </c>
      <c r="B147" s="507"/>
      <c r="C147" s="507"/>
      <c r="D147" s="507"/>
      <c r="E147" s="507"/>
      <c r="F147" s="507"/>
      <c r="G147" s="507"/>
      <c r="H147" s="507"/>
      <c r="I147" s="507"/>
      <c r="J147" s="507"/>
      <c r="K147" s="507"/>
      <c r="L147" s="507"/>
      <c r="M147" s="507"/>
      <c r="N147" s="507"/>
      <c r="O147" s="508"/>
    </row>
    <row r="148" spans="1:15" s="15" customFormat="1" x14ac:dyDescent="0.2">
      <c r="A148" s="325"/>
      <c r="B148" s="258"/>
      <c r="C148" s="258"/>
      <c r="D148" s="258"/>
      <c r="E148" s="258"/>
      <c r="F148" s="258"/>
      <c r="G148" s="258"/>
      <c r="H148" s="258"/>
      <c r="I148" s="258"/>
      <c r="J148" s="258"/>
      <c r="K148" s="258"/>
      <c r="L148" s="258"/>
      <c r="M148" s="258"/>
      <c r="N148" s="384"/>
      <c r="O148" s="326"/>
    </row>
    <row r="149" spans="1:15" s="15" customFormat="1" x14ac:dyDescent="0.2">
      <c r="A149" s="325"/>
      <c r="B149" s="258"/>
      <c r="C149" s="258"/>
      <c r="D149" s="258"/>
      <c r="E149" s="258"/>
      <c r="F149" s="258"/>
      <c r="G149" s="258"/>
      <c r="H149" s="258"/>
      <c r="I149" s="258"/>
      <c r="J149" s="259"/>
      <c r="K149" s="258"/>
      <c r="L149" s="258"/>
      <c r="M149" s="258"/>
      <c r="N149" s="384"/>
      <c r="O149" s="326"/>
    </row>
    <row r="150" spans="1:15" s="15" customFormat="1" x14ac:dyDescent="0.2">
      <c r="A150" s="325"/>
      <c r="B150" s="258"/>
      <c r="C150" s="258"/>
      <c r="D150" s="258"/>
      <c r="E150" s="258"/>
      <c r="F150" s="258"/>
      <c r="G150" s="258"/>
      <c r="H150" s="258"/>
      <c r="I150" s="258"/>
      <c r="J150" s="269"/>
      <c r="K150" s="258"/>
      <c r="L150" s="258"/>
      <c r="M150" s="258"/>
      <c r="N150" s="384"/>
      <c r="O150" s="326"/>
    </row>
    <row r="151" spans="1:15" s="15" customFormat="1" x14ac:dyDescent="0.2">
      <c r="A151" s="325"/>
      <c r="B151" s="258"/>
      <c r="C151" s="258"/>
      <c r="D151" s="258"/>
      <c r="E151" s="258"/>
      <c r="F151" s="258"/>
      <c r="G151" s="258"/>
      <c r="H151" s="258"/>
      <c r="I151" s="258"/>
      <c r="J151" s="258"/>
      <c r="K151" s="258"/>
      <c r="L151" s="258"/>
      <c r="M151" s="258"/>
      <c r="N151" s="384"/>
      <c r="O151" s="326"/>
    </row>
    <row r="152" spans="1:15" s="15" customFormat="1" x14ac:dyDescent="0.2">
      <c r="A152" s="325"/>
      <c r="B152" s="258"/>
      <c r="C152" s="258"/>
      <c r="D152" s="258"/>
      <c r="E152" s="368" t="s">
        <v>75</v>
      </c>
      <c r="F152" s="368"/>
      <c r="G152" s="368"/>
      <c r="H152" s="368"/>
      <c r="I152" s="368"/>
      <c r="J152" s="368"/>
      <c r="K152" s="368"/>
      <c r="L152" s="368"/>
      <c r="M152" s="368"/>
      <c r="N152" s="368"/>
      <c r="O152" s="369"/>
    </row>
    <row r="153" spans="1:15" s="15" customFormat="1" x14ac:dyDescent="0.2">
      <c r="A153" s="325"/>
      <c r="B153" s="258"/>
      <c r="C153" s="258" t="s">
        <v>74</v>
      </c>
      <c r="D153" s="258"/>
      <c r="E153" s="258"/>
      <c r="F153" s="258"/>
      <c r="G153" s="258"/>
      <c r="H153" s="258"/>
      <c r="I153" s="258"/>
      <c r="J153" s="269"/>
      <c r="K153" s="258"/>
      <c r="L153" s="258"/>
      <c r="M153" s="258"/>
      <c r="N153" s="384"/>
      <c r="O153" s="326"/>
    </row>
    <row r="154" spans="1:15" s="15" customFormat="1" x14ac:dyDescent="0.2">
      <c r="A154" s="325"/>
      <c r="B154" s="258"/>
      <c r="C154" s="258"/>
      <c r="D154" s="258"/>
      <c r="E154" s="258"/>
      <c r="F154" s="258"/>
      <c r="G154" s="258"/>
      <c r="H154" s="258"/>
      <c r="I154" s="258"/>
      <c r="J154" s="258"/>
      <c r="K154" s="258"/>
      <c r="L154" s="258"/>
      <c r="M154" s="258"/>
      <c r="N154" s="384"/>
      <c r="O154" s="326"/>
    </row>
    <row r="155" spans="1:15" s="15" customFormat="1" x14ac:dyDescent="0.2">
      <c r="A155" s="325"/>
      <c r="B155" s="258"/>
      <c r="C155" s="258"/>
      <c r="D155" s="370"/>
      <c r="E155" s="370"/>
      <c r="F155" s="370"/>
      <c r="G155" s="370"/>
      <c r="H155" s="370"/>
      <c r="I155" s="258"/>
      <c r="J155" s="259"/>
      <c r="K155" s="258"/>
      <c r="L155" s="368"/>
      <c r="M155" s="370"/>
      <c r="N155" s="370"/>
      <c r="O155" s="371"/>
    </row>
    <row r="156" spans="1:15" s="15" customFormat="1" x14ac:dyDescent="0.2">
      <c r="A156" s="325"/>
      <c r="B156" s="258"/>
      <c r="C156" s="258"/>
      <c r="D156" s="368"/>
      <c r="E156" s="368"/>
      <c r="F156" s="368"/>
      <c r="G156" s="368"/>
      <c r="H156" s="368"/>
      <c r="I156" s="258"/>
      <c r="J156" s="259"/>
      <c r="K156" s="258"/>
      <c r="L156" s="368"/>
      <c r="M156" s="368"/>
      <c r="N156" s="368"/>
      <c r="O156" s="369"/>
    </row>
    <row r="157" spans="1:15" s="15" customFormat="1" x14ac:dyDescent="0.2">
      <c r="A157" s="381"/>
      <c r="B157" s="382"/>
      <c r="C157" s="382"/>
      <c r="D157" s="382"/>
      <c r="E157" s="382"/>
      <c r="F157" s="382"/>
      <c r="G157" s="382"/>
      <c r="H157" s="382"/>
      <c r="I157" s="382"/>
      <c r="J157" s="382"/>
      <c r="K157" s="372"/>
      <c r="L157" s="384"/>
      <c r="M157" s="382"/>
      <c r="N157" s="382"/>
      <c r="O157" s="383"/>
    </row>
    <row r="158" spans="1:15" x14ac:dyDescent="0.2">
      <c r="A158" s="381"/>
      <c r="B158" s="382"/>
      <c r="C158" s="382"/>
      <c r="D158" s="382"/>
      <c r="E158" s="382"/>
      <c r="F158" s="382"/>
      <c r="G158" s="382"/>
      <c r="H158" s="382"/>
      <c r="I158" s="382"/>
      <c r="J158" s="382"/>
      <c r="K158" s="372"/>
      <c r="L158" s="384"/>
      <c r="M158" s="382"/>
      <c r="N158" s="382"/>
      <c r="O158" s="383"/>
    </row>
    <row r="159" spans="1:15" x14ac:dyDescent="0.2">
      <c r="A159" s="325"/>
      <c r="B159" s="258"/>
      <c r="C159" s="258"/>
      <c r="D159" s="373"/>
      <c r="E159" s="373"/>
      <c r="F159" s="373"/>
      <c r="G159" s="258"/>
      <c r="H159" s="258"/>
      <c r="I159" s="258"/>
      <c r="J159" s="258"/>
      <c r="K159" s="258"/>
      <c r="L159" s="258"/>
      <c r="M159" s="258"/>
      <c r="N159" s="384"/>
      <c r="O159" s="326"/>
    </row>
    <row r="160" spans="1:15" x14ac:dyDescent="0.2">
      <c r="A160" s="381"/>
      <c r="B160" s="258"/>
      <c r="C160" s="258"/>
      <c r="D160" s="258"/>
      <c r="E160" s="258"/>
      <c r="F160" s="258"/>
      <c r="G160" s="258"/>
      <c r="H160" s="258"/>
      <c r="I160" s="258"/>
      <c r="J160" s="258"/>
      <c r="K160" s="372"/>
      <c r="L160" s="384"/>
      <c r="M160" s="382"/>
      <c r="N160" s="382"/>
      <c r="O160" s="383"/>
    </row>
    <row r="161" spans="1:15" x14ac:dyDescent="0.2">
      <c r="A161" s="325"/>
      <c r="B161" s="258"/>
      <c r="C161" s="258"/>
      <c r="D161" s="373" t="s">
        <v>76</v>
      </c>
      <c r="E161" s="373"/>
      <c r="F161" s="373"/>
      <c r="G161" s="258"/>
      <c r="H161" s="258"/>
      <c r="I161" s="258"/>
      <c r="J161" s="258" t="s">
        <v>198</v>
      </c>
      <c r="K161" s="258"/>
      <c r="L161" s="258"/>
      <c r="M161" s="258"/>
      <c r="N161" s="384" t="s">
        <v>73</v>
      </c>
      <c r="O161" s="326"/>
    </row>
    <row r="162" spans="1:15" x14ac:dyDescent="0.2">
      <c r="A162" s="381"/>
      <c r="B162" s="382"/>
      <c r="C162" s="382"/>
      <c r="D162" s="382"/>
      <c r="E162" s="382"/>
      <c r="F162" s="382"/>
      <c r="G162" s="382"/>
      <c r="H162" s="382"/>
      <c r="I162" s="382"/>
      <c r="J162" s="382"/>
      <c r="K162" s="372"/>
      <c r="L162" s="384"/>
      <c r="M162" s="382"/>
      <c r="N162" s="382"/>
      <c r="O162" s="383"/>
    </row>
    <row r="163" spans="1:15" x14ac:dyDescent="0.2">
      <c r="A163" s="381"/>
      <c r="B163" s="382"/>
      <c r="C163" s="382"/>
      <c r="D163" s="382"/>
      <c r="E163" s="382"/>
      <c r="F163" s="382"/>
      <c r="G163" s="382"/>
      <c r="H163" s="382"/>
      <c r="I163" s="382"/>
      <c r="J163" s="382"/>
      <c r="K163" s="372"/>
      <c r="L163" s="384"/>
      <c r="M163" s="382"/>
      <c r="N163" s="382"/>
      <c r="O163" s="383"/>
    </row>
    <row r="164" spans="1:15" x14ac:dyDescent="0.2">
      <c r="A164" s="381"/>
      <c r="B164" s="382"/>
      <c r="C164" s="382"/>
      <c r="D164" s="382"/>
      <c r="E164" s="382"/>
      <c r="F164" s="382"/>
      <c r="G164" s="382"/>
      <c r="H164" s="382"/>
      <c r="I164" s="382"/>
      <c r="J164" s="382"/>
      <c r="K164" s="372"/>
      <c r="L164" s="384"/>
      <c r="M164" s="382"/>
      <c r="N164" s="382"/>
      <c r="O164" s="383"/>
    </row>
    <row r="165" spans="1:15" x14ac:dyDescent="0.2">
      <c r="A165" s="381"/>
      <c r="B165" s="382"/>
      <c r="C165" s="382"/>
      <c r="D165" s="382"/>
      <c r="E165" s="382"/>
      <c r="F165" s="382"/>
      <c r="G165" s="382"/>
      <c r="H165" s="382"/>
      <c r="I165" s="382"/>
      <c r="J165" s="382"/>
      <c r="K165" s="372"/>
      <c r="L165" s="384"/>
      <c r="M165" s="382"/>
      <c r="N165" s="382"/>
      <c r="O165" s="383"/>
    </row>
    <row r="166" spans="1:15" ht="15.75" x14ac:dyDescent="0.25">
      <c r="A166" s="381"/>
      <c r="B166" s="382"/>
      <c r="C166" s="382" t="s">
        <v>200</v>
      </c>
      <c r="D166" s="563" t="s">
        <v>303</v>
      </c>
      <c r="E166" s="563"/>
      <c r="F166" s="563"/>
      <c r="G166" s="388"/>
      <c r="H166" s="388"/>
      <c r="I166" s="563" t="s">
        <v>304</v>
      </c>
      <c r="J166" s="563"/>
      <c r="K166" s="562" t="s">
        <v>305</v>
      </c>
      <c r="L166" s="562"/>
      <c r="M166" s="562"/>
      <c r="N166" s="560" t="s">
        <v>306</v>
      </c>
      <c r="O166" s="561"/>
    </row>
    <row r="167" spans="1:15" ht="15" x14ac:dyDescent="0.25">
      <c r="A167" s="381"/>
      <c r="B167" s="382"/>
      <c r="C167" s="382"/>
      <c r="D167" s="559" t="s">
        <v>7</v>
      </c>
      <c r="E167" s="559"/>
      <c r="F167" s="559"/>
      <c r="G167" s="50"/>
      <c r="H167" s="50"/>
      <c r="I167" s="559" t="s">
        <v>201</v>
      </c>
      <c r="J167" s="559"/>
      <c r="K167" s="558" t="s">
        <v>199</v>
      </c>
      <c r="L167" s="558"/>
      <c r="M167" s="558"/>
      <c r="N167" s="556" t="s">
        <v>202</v>
      </c>
      <c r="O167" s="557"/>
    </row>
    <row r="168" spans="1:15" x14ac:dyDescent="0.2">
      <c r="A168" s="381"/>
      <c r="B168" s="382"/>
      <c r="C168" s="382"/>
      <c r="D168" s="382"/>
      <c r="E168" s="382"/>
      <c r="F168" s="382"/>
      <c r="G168" s="382"/>
      <c r="H168" s="382"/>
      <c r="I168" s="382"/>
      <c r="J168" s="382"/>
      <c r="K168" s="372"/>
      <c r="L168" s="384"/>
      <c r="M168" s="382"/>
      <c r="N168" s="382"/>
      <c r="O168" s="383"/>
    </row>
    <row r="169" spans="1:15" x14ac:dyDescent="0.2">
      <c r="A169" s="381"/>
      <c r="B169" s="382"/>
      <c r="C169" s="382"/>
      <c r="D169" s="382"/>
      <c r="E169" s="382"/>
      <c r="F169" s="382"/>
      <c r="G169" s="382"/>
      <c r="H169" s="382"/>
      <c r="I169" s="382"/>
      <c r="J169" s="382"/>
      <c r="K169" s="372"/>
      <c r="L169" s="384"/>
      <c r="M169" s="382"/>
      <c r="N169" s="384"/>
      <c r="O169" s="383"/>
    </row>
    <row r="170" spans="1:15" x14ac:dyDescent="0.2">
      <c r="A170" s="381"/>
      <c r="B170" s="382"/>
      <c r="C170" s="382"/>
      <c r="D170" s="382"/>
      <c r="E170" s="382"/>
      <c r="F170" s="382"/>
      <c r="G170" s="382"/>
      <c r="H170" s="382"/>
      <c r="I170" s="382"/>
      <c r="J170" s="382"/>
      <c r="K170" s="372"/>
      <c r="L170" s="384"/>
      <c r="M170" s="382"/>
      <c r="N170" s="382"/>
      <c r="O170" s="383"/>
    </row>
    <row r="171" spans="1:15" x14ac:dyDescent="0.2">
      <c r="A171" s="381"/>
      <c r="B171" s="382"/>
      <c r="C171" s="382"/>
      <c r="D171" s="382"/>
      <c r="E171" s="382"/>
      <c r="F171" s="382"/>
      <c r="G171" s="382"/>
      <c r="H171" s="382"/>
      <c r="I171" s="382"/>
      <c r="J171" s="382"/>
      <c r="K171" s="372"/>
      <c r="L171" s="384"/>
      <c r="M171" s="382"/>
      <c r="N171" s="382"/>
      <c r="O171" s="383"/>
    </row>
    <row r="172" spans="1:15" x14ac:dyDescent="0.2">
      <c r="A172" s="381"/>
      <c r="B172" s="382"/>
      <c r="C172" s="382"/>
      <c r="D172" s="382"/>
      <c r="E172" s="382"/>
      <c r="F172" s="382"/>
      <c r="G172" s="382"/>
      <c r="H172" s="382"/>
      <c r="I172" s="382"/>
      <c r="J172" s="382"/>
      <c r="K172" s="372"/>
      <c r="L172" s="384"/>
      <c r="M172" s="382"/>
      <c r="N172" s="382"/>
      <c r="O172" s="383"/>
    </row>
    <row r="173" spans="1:15" x14ac:dyDescent="0.2">
      <c r="A173" s="381"/>
      <c r="B173" s="382"/>
      <c r="C173" s="382"/>
      <c r="D173" s="382"/>
      <c r="E173" s="382"/>
      <c r="F173" s="382"/>
      <c r="G173" s="382"/>
      <c r="H173" s="382"/>
      <c r="I173" s="382"/>
      <c r="J173" s="382"/>
      <c r="K173" s="372"/>
      <c r="L173" s="384"/>
      <c r="M173" s="382"/>
      <c r="N173" s="382"/>
      <c r="O173" s="383"/>
    </row>
    <row r="174" spans="1:15" x14ac:dyDescent="0.2">
      <c r="A174" s="381"/>
      <c r="B174" s="382"/>
      <c r="C174" s="382"/>
      <c r="D174" s="382"/>
      <c r="E174" s="382"/>
      <c r="F174" s="382"/>
      <c r="G174" s="382"/>
      <c r="H174" s="382"/>
      <c r="I174" s="382"/>
      <c r="J174" s="382"/>
      <c r="K174" s="372"/>
      <c r="L174" s="384"/>
      <c r="M174" s="382"/>
      <c r="N174" s="382"/>
      <c r="O174" s="383"/>
    </row>
    <row r="175" spans="1:15" x14ac:dyDescent="0.2">
      <c r="A175" s="381"/>
      <c r="B175" s="382"/>
      <c r="C175" s="382"/>
      <c r="D175" s="382"/>
      <c r="E175" s="382"/>
      <c r="F175" s="382"/>
      <c r="G175" s="382"/>
      <c r="H175" s="382"/>
      <c r="I175" s="382"/>
      <c r="J175" s="382"/>
      <c r="K175" s="372"/>
      <c r="L175" s="384"/>
      <c r="M175" s="382"/>
      <c r="N175" s="382"/>
      <c r="O175" s="383"/>
    </row>
    <row r="176" spans="1:15" x14ac:dyDescent="0.2">
      <c r="A176" s="381"/>
      <c r="B176" s="382"/>
      <c r="C176" s="382"/>
      <c r="D176" s="382"/>
      <c r="E176" s="382"/>
      <c r="F176" s="382"/>
      <c r="G176" s="382"/>
      <c r="H176" s="382"/>
      <c r="I176" s="382"/>
      <c r="J176" s="382"/>
      <c r="K176" s="372"/>
      <c r="L176" s="384"/>
      <c r="M176" s="382"/>
      <c r="N176" s="382"/>
      <c r="O176" s="383"/>
    </row>
    <row r="177" spans="1:15" x14ac:dyDescent="0.2">
      <c r="A177" s="325"/>
      <c r="B177" s="258"/>
      <c r="C177" s="258"/>
      <c r="D177" s="384"/>
      <c r="E177" s="384"/>
      <c r="F177" s="384"/>
      <c r="G177" s="384"/>
      <c r="H177" s="384"/>
      <c r="I177" s="258"/>
      <c r="J177" s="259"/>
      <c r="K177" s="258"/>
      <c r="L177" s="384"/>
      <c r="M177" s="384"/>
      <c r="N177" s="384"/>
      <c r="O177" s="385"/>
    </row>
    <row r="178" spans="1:15" x14ac:dyDescent="0.2">
      <c r="A178" s="325"/>
      <c r="B178" s="258"/>
      <c r="C178" s="258"/>
      <c r="D178" s="384"/>
      <c r="E178" s="384"/>
      <c r="F178" s="384"/>
      <c r="G178" s="384"/>
      <c r="H178" s="384"/>
      <c r="I178" s="258"/>
      <c r="J178" s="259"/>
      <c r="K178" s="258"/>
      <c r="L178" s="384"/>
      <c r="M178" s="384"/>
      <c r="N178" s="384"/>
      <c r="O178" s="385"/>
    </row>
    <row r="179" spans="1:15" x14ac:dyDescent="0.2">
      <c r="A179" s="325"/>
      <c r="B179" s="258"/>
      <c r="C179" s="258"/>
      <c r="D179" s="384"/>
      <c r="E179" s="384"/>
      <c r="F179" s="384"/>
      <c r="G179" s="384"/>
      <c r="H179" s="384"/>
      <c r="I179" s="258"/>
      <c r="J179" s="258"/>
      <c r="K179" s="258"/>
      <c r="L179" s="258"/>
      <c r="M179" s="258"/>
      <c r="N179" s="384"/>
      <c r="O179" s="326"/>
    </row>
    <row r="180" spans="1:15" x14ac:dyDescent="0.2">
      <c r="A180" s="325"/>
      <c r="B180" s="258"/>
      <c r="C180" s="258"/>
      <c r="D180" s="373"/>
      <c r="E180" s="373"/>
      <c r="F180" s="373"/>
      <c r="G180" s="258"/>
      <c r="H180" s="258"/>
      <c r="I180" s="258"/>
      <c r="J180" s="258"/>
      <c r="K180" s="258"/>
      <c r="L180" s="258"/>
      <c r="M180" s="258"/>
      <c r="N180" s="384"/>
      <c r="O180" s="326"/>
    </row>
    <row r="181" spans="1:15" x14ac:dyDescent="0.2">
      <c r="A181" s="16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0"/>
      <c r="O181" s="166"/>
    </row>
    <row r="182" spans="1:15" x14ac:dyDescent="0.2">
      <c r="A182" s="167"/>
      <c r="B182" s="168"/>
      <c r="C182" s="168"/>
      <c r="D182" s="168"/>
      <c r="E182" s="168"/>
      <c r="F182" s="168"/>
      <c r="G182" s="168"/>
      <c r="H182" s="168"/>
      <c r="I182" s="168"/>
      <c r="J182" s="168"/>
      <c r="K182" s="168"/>
      <c r="L182" s="168"/>
      <c r="M182" s="168"/>
      <c r="N182" s="169"/>
      <c r="O182" s="170"/>
    </row>
  </sheetData>
  <mergeCells count="76">
    <mergeCell ref="M87:N87"/>
    <mergeCell ref="J89:J90"/>
    <mergeCell ref="A41:H44"/>
    <mergeCell ref="I41:I44"/>
    <mergeCell ref="K41:K44"/>
    <mergeCell ref="M41:N41"/>
    <mergeCell ref="J43:J44"/>
    <mergeCell ref="A52:F52"/>
    <mergeCell ref="A79:F79"/>
    <mergeCell ref="A87:H90"/>
    <mergeCell ref="I87:I90"/>
    <mergeCell ref="K87:K90"/>
    <mergeCell ref="A36:F36"/>
    <mergeCell ref="A103:H103"/>
    <mergeCell ref="A33:F33"/>
    <mergeCell ref="A34:F34"/>
    <mergeCell ref="A35:F35"/>
    <mergeCell ref="A47:F47"/>
    <mergeCell ref="A48:F48"/>
    <mergeCell ref="A49:F49"/>
    <mergeCell ref="A50:F50"/>
    <mergeCell ref="A51:F51"/>
    <mergeCell ref="A37:F37"/>
    <mergeCell ref="A38:F38"/>
    <mergeCell ref="A39:F39"/>
    <mergeCell ref="A40:F40"/>
    <mergeCell ref="A45:F45"/>
    <mergeCell ref="A91:F91"/>
    <mergeCell ref="A32:F32"/>
    <mergeCell ref="A20:F20"/>
    <mergeCell ref="A21:F21"/>
    <mergeCell ref="A22:F22"/>
    <mergeCell ref="A23:F23"/>
    <mergeCell ref="A25:F25"/>
    <mergeCell ref="A26:F26"/>
    <mergeCell ref="A27:F27"/>
    <mergeCell ref="A28:F28"/>
    <mergeCell ref="A29:F29"/>
    <mergeCell ref="A30:F30"/>
    <mergeCell ref="A31:F31"/>
    <mergeCell ref="A19:F19"/>
    <mergeCell ref="A1:O1"/>
    <mergeCell ref="A2:O2"/>
    <mergeCell ref="A3:O3"/>
    <mergeCell ref="A4:O4"/>
    <mergeCell ref="A5:O5"/>
    <mergeCell ref="A6:H9"/>
    <mergeCell ref="I6:I9"/>
    <mergeCell ref="K6:K9"/>
    <mergeCell ref="M6:N6"/>
    <mergeCell ref="A10:B10"/>
    <mergeCell ref="A13:F13"/>
    <mergeCell ref="A14:F14"/>
    <mergeCell ref="A15:F15"/>
    <mergeCell ref="A18:F18"/>
    <mergeCell ref="J8:J9"/>
    <mergeCell ref="N167:O167"/>
    <mergeCell ref="K167:M167"/>
    <mergeCell ref="I167:J167"/>
    <mergeCell ref="D167:F167"/>
    <mergeCell ref="N166:O166"/>
    <mergeCell ref="K166:M166"/>
    <mergeCell ref="I166:J166"/>
    <mergeCell ref="D166:F166"/>
    <mergeCell ref="A147:O147"/>
    <mergeCell ref="A146:O146"/>
    <mergeCell ref="M104:N104"/>
    <mergeCell ref="A145:O145"/>
    <mergeCell ref="A144:O144"/>
    <mergeCell ref="A143:O143"/>
    <mergeCell ref="A108:B108"/>
    <mergeCell ref="A115:H115"/>
    <mergeCell ref="A126:H126"/>
    <mergeCell ref="A128:F128"/>
    <mergeCell ref="K104:K107"/>
    <mergeCell ref="A107:H107"/>
  </mergeCells>
  <pageMargins left="0.2" right="0.2" top="0.75" bottom="0.75" header="0.3" footer="0.3"/>
  <pageSetup paperSize="5" scale="85" orientation="landscape" horizontalDpi="300" verticalDpi="300" r:id="rId1"/>
  <headerFoot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6"/>
  <sheetViews>
    <sheetView topLeftCell="A34" workbookViewId="0">
      <selection activeCell="A76" sqref="A76"/>
    </sheetView>
  </sheetViews>
  <sheetFormatPr defaultRowHeight="12.75" x14ac:dyDescent="0.2"/>
  <cols>
    <col min="1" max="1" width="15" style="469" bestFit="1" customWidth="1"/>
  </cols>
  <sheetData>
    <row r="1" spans="1:1" x14ac:dyDescent="0.2">
      <c r="A1" s="469">
        <v>40000000</v>
      </c>
    </row>
    <row r="2" spans="1:1" x14ac:dyDescent="0.2">
      <c r="A2" s="469">
        <v>1080000</v>
      </c>
    </row>
    <row r="3" spans="1:1" x14ac:dyDescent="0.2">
      <c r="A3" s="469">
        <v>905000</v>
      </c>
    </row>
    <row r="4" spans="1:1" x14ac:dyDescent="0.2">
      <c r="A4" s="469">
        <v>1000000</v>
      </c>
    </row>
    <row r="5" spans="1:1" x14ac:dyDescent="0.2">
      <c r="A5" s="469">
        <v>500000</v>
      </c>
    </row>
    <row r="6" spans="1:1" x14ac:dyDescent="0.2">
      <c r="A6" s="469">
        <v>750000</v>
      </c>
    </row>
    <row r="7" spans="1:1" x14ac:dyDescent="0.2">
      <c r="A7" s="469">
        <v>500000</v>
      </c>
    </row>
    <row r="8" spans="1:1" x14ac:dyDescent="0.2">
      <c r="A8" s="469">
        <v>1300000</v>
      </c>
    </row>
    <row r="9" spans="1:1" x14ac:dyDescent="0.2">
      <c r="A9" s="469">
        <v>1300000</v>
      </c>
    </row>
    <row r="10" spans="1:1" x14ac:dyDescent="0.2">
      <c r="A10" s="469">
        <v>1300000</v>
      </c>
    </row>
    <row r="11" spans="1:1" x14ac:dyDescent="0.2">
      <c r="A11" s="469">
        <v>1300000</v>
      </c>
    </row>
    <row r="12" spans="1:1" x14ac:dyDescent="0.2">
      <c r="A12" s="469">
        <v>500000</v>
      </c>
    </row>
    <row r="13" spans="1:1" x14ac:dyDescent="0.2">
      <c r="A13" s="469">
        <v>370000</v>
      </c>
    </row>
    <row r="14" spans="1:1" x14ac:dyDescent="0.2">
      <c r="A14" s="469">
        <v>875000</v>
      </c>
    </row>
    <row r="15" spans="1:1" x14ac:dyDescent="0.2">
      <c r="A15" s="469">
        <v>880000</v>
      </c>
    </row>
    <row r="16" spans="1:1" x14ac:dyDescent="0.2">
      <c r="A16" s="469">
        <v>625000</v>
      </c>
    </row>
    <row r="17" spans="1:1" x14ac:dyDescent="0.2">
      <c r="A17" s="469">
        <v>705000</v>
      </c>
    </row>
    <row r="18" spans="1:1" x14ac:dyDescent="0.2">
      <c r="A18" s="469">
        <v>58000</v>
      </c>
    </row>
    <row r="19" spans="1:1" x14ac:dyDescent="0.2">
      <c r="A19" s="469">
        <v>1000000</v>
      </c>
    </row>
    <row r="20" spans="1:1" x14ac:dyDescent="0.2">
      <c r="A20" s="469">
        <v>710000</v>
      </c>
    </row>
    <row r="21" spans="1:1" x14ac:dyDescent="0.2">
      <c r="A21" s="469">
        <v>1565000</v>
      </c>
    </row>
    <row r="22" spans="1:1" x14ac:dyDescent="0.2">
      <c r="A22" s="469">
        <v>1665000</v>
      </c>
    </row>
    <row r="23" spans="1:1" x14ac:dyDescent="0.2">
      <c r="A23" s="469">
        <v>1870000</v>
      </c>
    </row>
    <row r="24" spans="1:1" x14ac:dyDescent="0.2">
      <c r="A24" s="469">
        <v>1020000</v>
      </c>
    </row>
    <row r="25" spans="1:1" x14ac:dyDescent="0.2">
      <c r="A25" s="469">
        <v>985000</v>
      </c>
    </row>
    <row r="26" spans="1:1" x14ac:dyDescent="0.2">
      <c r="A26" s="469">
        <v>1405000</v>
      </c>
    </row>
    <row r="27" spans="1:1" x14ac:dyDescent="0.2">
      <c r="A27" s="469">
        <v>2260000</v>
      </c>
    </row>
    <row r="28" spans="1:1" x14ac:dyDescent="0.2">
      <c r="A28" s="469">
        <v>1490000</v>
      </c>
    </row>
    <row r="29" spans="1:1" x14ac:dyDescent="0.2">
      <c r="A29" s="469">
        <v>1890000</v>
      </c>
    </row>
    <row r="30" spans="1:1" x14ac:dyDescent="0.2">
      <c r="A30" s="469">
        <v>910000</v>
      </c>
    </row>
    <row r="32" spans="1:1" x14ac:dyDescent="0.2">
      <c r="A32" s="469">
        <v>1000000</v>
      </c>
    </row>
    <row r="33" spans="1:1" x14ac:dyDescent="0.2">
      <c r="A33" s="469">
        <v>645000</v>
      </c>
    </row>
    <row r="34" spans="1:1" x14ac:dyDescent="0.2">
      <c r="A34" s="469">
        <v>755000</v>
      </c>
    </row>
    <row r="35" spans="1:1" x14ac:dyDescent="0.2">
      <c r="A35" s="469">
        <v>810000</v>
      </c>
    </row>
    <row r="36" spans="1:1" x14ac:dyDescent="0.2">
      <c r="A36" s="469">
        <v>795000</v>
      </c>
    </row>
    <row r="37" spans="1:1" x14ac:dyDescent="0.2">
      <c r="A37" s="469">
        <v>1000000</v>
      </c>
    </row>
    <row r="38" spans="1:1" x14ac:dyDescent="0.2">
      <c r="A38" s="469">
        <v>1500000</v>
      </c>
    </row>
    <row r="39" spans="1:1" x14ac:dyDescent="0.2">
      <c r="A39" s="469">
        <v>5000000</v>
      </c>
    </row>
    <row r="40" spans="1:1" x14ac:dyDescent="0.2">
      <c r="A40" s="469">
        <v>1000000</v>
      </c>
    </row>
    <row r="41" spans="1:1" x14ac:dyDescent="0.2">
      <c r="A41" s="469">
        <v>1500000</v>
      </c>
    </row>
    <row r="42" spans="1:1" x14ac:dyDescent="0.2">
      <c r="A42" s="469">
        <v>1000000</v>
      </c>
    </row>
    <row r="43" spans="1:1" x14ac:dyDescent="0.2">
      <c r="A43" s="469">
        <v>1000000</v>
      </c>
    </row>
    <row r="44" spans="1:1" x14ac:dyDescent="0.2">
      <c r="A44" s="469">
        <v>1000000</v>
      </c>
    </row>
    <row r="47" spans="1:1" x14ac:dyDescent="0.2">
      <c r="A47" s="469">
        <v>5000000</v>
      </c>
    </row>
    <row r="55" spans="1:1" x14ac:dyDescent="0.2">
      <c r="A55" s="469">
        <v>2000000</v>
      </c>
    </row>
    <row r="56" spans="1:1" x14ac:dyDescent="0.2">
      <c r="A56" s="469">
        <v>1000000</v>
      </c>
    </row>
    <row r="57" spans="1:1" x14ac:dyDescent="0.2">
      <c r="A57" s="469">
        <v>1500000</v>
      </c>
    </row>
    <row r="58" spans="1:1" x14ac:dyDescent="0.2">
      <c r="A58" s="469">
        <v>700000</v>
      </c>
    </row>
    <row r="59" spans="1:1" x14ac:dyDescent="0.2">
      <c r="A59" s="469">
        <v>2500000</v>
      </c>
    </row>
    <row r="60" spans="1:1" x14ac:dyDescent="0.2">
      <c r="A60" s="469">
        <v>700000</v>
      </c>
    </row>
    <row r="61" spans="1:1" x14ac:dyDescent="0.2">
      <c r="A61" s="469">
        <v>2500000</v>
      </c>
    </row>
    <row r="62" spans="1:1" x14ac:dyDescent="0.2">
      <c r="A62" s="469">
        <v>700000</v>
      </c>
    </row>
    <row r="63" spans="1:1" x14ac:dyDescent="0.2">
      <c r="A63" s="469">
        <v>500000</v>
      </c>
    </row>
    <row r="64" spans="1:1" x14ac:dyDescent="0.2">
      <c r="A64" s="469">
        <v>500000</v>
      </c>
    </row>
    <row r="65" spans="1:1" x14ac:dyDescent="0.2">
      <c r="A65" s="469">
        <v>500000</v>
      </c>
    </row>
    <row r="66" spans="1:1" x14ac:dyDescent="0.2">
      <c r="A66" s="469">
        <v>147933.82</v>
      </c>
    </row>
    <row r="68" spans="1:1" x14ac:dyDescent="0.2">
      <c r="A68" s="469">
        <v>231546.6</v>
      </c>
    </row>
    <row r="69" spans="1:1" x14ac:dyDescent="0.2">
      <c r="A69" s="469">
        <v>149098.67000000001</v>
      </c>
    </row>
    <row r="70" spans="1:1" x14ac:dyDescent="0.2">
      <c r="A70" s="469">
        <v>249273.02</v>
      </c>
    </row>
    <row r="71" spans="1:1" x14ac:dyDescent="0.2">
      <c r="A71" s="469">
        <v>221137.31</v>
      </c>
    </row>
    <row r="72" spans="1:1" x14ac:dyDescent="0.2">
      <c r="A72" s="469">
        <v>98784.86</v>
      </c>
    </row>
    <row r="73" spans="1:1" x14ac:dyDescent="0.2">
      <c r="A73" s="469">
        <v>118685.62</v>
      </c>
    </row>
    <row r="74" spans="1:1" x14ac:dyDescent="0.2">
      <c r="A74" s="469">
        <v>8355000</v>
      </c>
    </row>
    <row r="75" spans="1:1" x14ac:dyDescent="0.2">
      <c r="A75" s="469">
        <v>700000</v>
      </c>
    </row>
    <row r="76" spans="1:1" x14ac:dyDescent="0.2">
      <c r="A76" s="469">
        <f>SUM(A1:A75)</f>
        <v>116094459.89999999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July-Sept.</vt:lpstr>
      <vt:lpstr>July-Sept</vt:lpstr>
      <vt:lpstr>Sheet1</vt:lpstr>
      <vt:lpstr>'July-Sept.'!Print_Area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</dc:creator>
  <cp:lastModifiedBy>ITCDD</cp:lastModifiedBy>
  <cp:lastPrinted>2018-10-10T05:34:39Z</cp:lastPrinted>
  <dcterms:created xsi:type="dcterms:W3CDTF">2003-03-26T06:08:15Z</dcterms:created>
  <dcterms:modified xsi:type="dcterms:W3CDTF">2019-01-03T02:00:24Z</dcterms:modified>
</cp:coreProperties>
</file>