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780" windowWidth="19200" windowHeight="9945"/>
  </bookViews>
  <sheets>
    <sheet name="GF" sheetId="1" r:id="rId1"/>
    <sheet name="per year" sheetId="5" state="hidden" r:id="rId2"/>
    <sheet name="checking" sheetId="8" state="hidden" r:id="rId3"/>
    <sheet name="cont" sheetId="7" state="hidden" r:id="rId4"/>
    <sheet name="LDR" sheetId="4" state="hidden" r:id="rId5"/>
    <sheet name="LDRRMF" sheetId="3" state="hidden" r:id="rId6"/>
    <sheet name="completed 2020" sheetId="9" state="hidden" r:id="rId7"/>
  </sheets>
  <definedNames>
    <definedName name="_xlnm.Print_Area" localSheetId="0">GF!$A$1:$K$371</definedName>
    <definedName name="_xlnm.Print_Area" localSheetId="1">'per year'!$A$1:$L$469</definedName>
    <definedName name="_xlnm.Print_Titles" localSheetId="3">cont!$11:$12</definedName>
    <definedName name="_xlnm.Print_Titles" localSheetId="0">GF!$12:$13</definedName>
    <definedName name="_xlnm.Print_Titles" localSheetId="4">LDR!$11:$12</definedName>
    <definedName name="_xlnm.Print_Titles" localSheetId="5">LDRRMF!$12:$13</definedName>
    <definedName name="_xlnm.Print_Titles" localSheetId="1">'per year'!$12:$13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2" i="5" l="1"/>
  <c r="H15" i="1" l="1"/>
  <c r="G15" i="1"/>
  <c r="F15" i="1"/>
  <c r="H70" i="1"/>
  <c r="G70" i="1"/>
  <c r="F70" i="1"/>
  <c r="F124" i="1" l="1"/>
  <c r="K280" i="5" l="1"/>
  <c r="K278" i="5"/>
  <c r="F280" i="5"/>
  <c r="F278" i="5"/>
  <c r="G101" i="1" l="1"/>
  <c r="G99" i="1"/>
  <c r="G278" i="5" s="1"/>
  <c r="H101" i="1" l="1"/>
  <c r="H280" i="5" s="1"/>
  <c r="G280" i="5"/>
  <c r="H99" i="1"/>
  <c r="H278" i="5" s="1"/>
  <c r="J330" i="5"/>
  <c r="J331" i="5"/>
  <c r="F166" i="1"/>
  <c r="K103" i="5" l="1"/>
  <c r="K104" i="5"/>
  <c r="K105" i="5"/>
  <c r="K106" i="5"/>
  <c r="K107" i="5"/>
  <c r="K108" i="5"/>
  <c r="K102" i="5"/>
  <c r="F103" i="5"/>
  <c r="F104" i="5"/>
  <c r="F105" i="5"/>
  <c r="F106" i="5"/>
  <c r="F107" i="5"/>
  <c r="F108" i="5"/>
  <c r="F102" i="5"/>
  <c r="F58" i="1"/>
  <c r="F56" i="1" s="1"/>
  <c r="G66" i="1"/>
  <c r="H66" i="1" s="1"/>
  <c r="H108" i="5" s="1"/>
  <c r="G65" i="1"/>
  <c r="H65" i="1" s="1"/>
  <c r="H107" i="5" s="1"/>
  <c r="G64" i="1"/>
  <c r="H64" i="1" s="1"/>
  <c r="H106" i="5" s="1"/>
  <c r="G63" i="1"/>
  <c r="H63" i="1" s="1"/>
  <c r="H105" i="5" s="1"/>
  <c r="G62" i="1"/>
  <c r="H62" i="1" s="1"/>
  <c r="H104" i="5" s="1"/>
  <c r="G61" i="1"/>
  <c r="H61" i="1" s="1"/>
  <c r="H103" i="5" s="1"/>
  <c r="G60" i="1"/>
  <c r="H60" i="1" s="1"/>
  <c r="H102" i="5" s="1"/>
  <c r="G105" i="5" l="1"/>
  <c r="G107" i="5"/>
  <c r="G108" i="5"/>
  <c r="G106" i="5"/>
  <c r="G104" i="5"/>
  <c r="G102" i="5"/>
  <c r="G103" i="5"/>
  <c r="F100" i="5"/>
  <c r="F98" i="5" s="1"/>
  <c r="H100" i="5"/>
  <c r="H98" i="5" s="1"/>
  <c r="H58" i="1"/>
  <c r="H56" i="1" s="1"/>
  <c r="G58" i="1"/>
  <c r="G56" i="1" s="1"/>
  <c r="G100" i="5" l="1"/>
  <c r="G98" i="5" s="1"/>
  <c r="W169" i="1"/>
  <c r="J430" i="5"/>
  <c r="J429" i="5"/>
  <c r="J312" i="5"/>
  <c r="J318" i="5"/>
  <c r="J317" i="5"/>
  <c r="J325" i="5"/>
  <c r="J96" i="5" l="1"/>
  <c r="J94" i="5"/>
  <c r="F96" i="5"/>
  <c r="F52" i="1"/>
  <c r="G54" i="1"/>
  <c r="G96" i="5" s="1"/>
  <c r="H54" i="1" l="1"/>
  <c r="H96" i="5" s="1"/>
  <c r="F165" i="1"/>
  <c r="F171" i="1"/>
  <c r="F170" i="1"/>
  <c r="F134" i="1" l="1"/>
  <c r="F49" i="1"/>
  <c r="F46" i="1" s="1"/>
  <c r="F33" i="1"/>
  <c r="F23" i="1" l="1"/>
  <c r="K126" i="5" l="1"/>
  <c r="F126" i="5"/>
  <c r="F124" i="5" s="1"/>
  <c r="K37" i="5"/>
  <c r="F37" i="5"/>
  <c r="F119" i="1"/>
  <c r="F122" i="1"/>
  <c r="G125" i="1"/>
  <c r="H125" i="1" s="1"/>
  <c r="H37" i="5" s="1"/>
  <c r="G124" i="1"/>
  <c r="G126" i="5" s="1"/>
  <c r="G124" i="5" s="1"/>
  <c r="G162" i="1"/>
  <c r="H124" i="1" l="1"/>
  <c r="H126" i="5" s="1"/>
  <c r="H124" i="5" s="1"/>
  <c r="G37" i="5"/>
  <c r="S180" i="1"/>
  <c r="S27" i="1"/>
  <c r="G341" i="5" l="1"/>
  <c r="F341" i="5"/>
  <c r="H177" i="1"/>
  <c r="H341" i="5" s="1"/>
  <c r="J458" i="5"/>
  <c r="J455" i="5"/>
  <c r="J451" i="5"/>
  <c r="J444" i="5"/>
  <c r="J440" i="5"/>
  <c r="J441" i="5"/>
  <c r="J442" i="5"/>
  <c r="J438" i="5"/>
  <c r="J433" i="5"/>
  <c r="J434" i="5"/>
  <c r="J435" i="5"/>
  <c r="J432" i="5"/>
  <c r="J431" i="5"/>
  <c r="J428" i="5"/>
  <c r="J419" i="5"/>
  <c r="J420" i="5"/>
  <c r="J421" i="5"/>
  <c r="J422" i="5"/>
  <c r="J418" i="5"/>
  <c r="J447" i="5"/>
  <c r="J259" i="5"/>
  <c r="J257" i="5"/>
  <c r="J252" i="5"/>
  <c r="J152" i="5"/>
  <c r="J150" i="5"/>
  <c r="F356" i="1" l="1"/>
  <c r="F299" i="1"/>
  <c r="F332" i="1"/>
  <c r="F330" i="1"/>
  <c r="F333" i="1"/>
  <c r="F334" i="1"/>
  <c r="F336" i="1"/>
  <c r="F337" i="1"/>
  <c r="F340" i="1"/>
  <c r="F343" i="1"/>
  <c r="F344" i="1"/>
  <c r="F348" i="1"/>
  <c r="F349" i="1"/>
  <c r="F351" i="1"/>
  <c r="F352" i="1"/>
  <c r="F353" i="1"/>
  <c r="F359" i="1"/>
  <c r="F318" i="1"/>
  <c r="F327" i="1"/>
  <c r="F326" i="1"/>
  <c r="F312" i="1"/>
  <c r="F325" i="1"/>
  <c r="F324" i="1"/>
  <c r="F321" i="1"/>
  <c r="F311" i="1"/>
  <c r="F309" i="1"/>
  <c r="F307" i="1"/>
  <c r="F308" i="1"/>
  <c r="F303" i="1"/>
  <c r="F306" i="1"/>
  <c r="J80" i="5" l="1"/>
  <c r="K305" i="5" l="1"/>
  <c r="I305" i="5"/>
  <c r="F305" i="5"/>
  <c r="G137" i="1"/>
  <c r="H137" i="1" s="1"/>
  <c r="H305" i="5" s="1"/>
  <c r="J355" i="5"/>
  <c r="J178" i="5"/>
  <c r="G200" i="1"/>
  <c r="G305" i="5" l="1"/>
  <c r="A10" i="5"/>
  <c r="F310" i="1" l="1"/>
  <c r="F289" i="1"/>
  <c r="F291" i="1"/>
  <c r="F290" i="1"/>
  <c r="G39" i="1"/>
  <c r="G29" i="1"/>
  <c r="J254" i="5" l="1"/>
  <c r="J255" i="5"/>
  <c r="O291" i="1" l="1"/>
  <c r="O290" i="1"/>
  <c r="J337" i="5" l="1"/>
  <c r="J338" i="5"/>
  <c r="J313" i="5"/>
  <c r="J85" i="5"/>
  <c r="G279" i="1"/>
  <c r="H279" i="1" s="1"/>
  <c r="F458" i="5" l="1"/>
  <c r="F455" i="5"/>
  <c r="F451" i="5"/>
  <c r="F448" i="5"/>
  <c r="F447" i="5"/>
  <c r="F444" i="5"/>
  <c r="F442" i="5"/>
  <c r="F441" i="5"/>
  <c r="F440" i="5"/>
  <c r="F438" i="5"/>
  <c r="F435" i="5"/>
  <c r="F434" i="5"/>
  <c r="F433" i="5"/>
  <c r="F432" i="5"/>
  <c r="F431" i="5"/>
  <c r="F430" i="5"/>
  <c r="F429" i="5"/>
  <c r="F428" i="5"/>
  <c r="F425" i="5"/>
  <c r="F422" i="5"/>
  <c r="F421" i="5"/>
  <c r="F420" i="5"/>
  <c r="F419" i="5"/>
  <c r="F418" i="5"/>
  <c r="F415" i="5"/>
  <c r="F81" i="5" l="1"/>
  <c r="N291" i="1" l="1"/>
  <c r="N290" i="1"/>
  <c r="K286" i="5"/>
  <c r="F286" i="5"/>
  <c r="F72" i="1"/>
  <c r="G107" i="1"/>
  <c r="H107" i="1" s="1"/>
  <c r="H286" i="5" s="1"/>
  <c r="G286" i="5" l="1"/>
  <c r="N307" i="1" l="1"/>
  <c r="G307" i="1" s="1"/>
  <c r="F409" i="5" l="1"/>
  <c r="F408" i="5"/>
  <c r="F407" i="5"/>
  <c r="N409" i="5"/>
  <c r="F400" i="5"/>
  <c r="F398" i="5"/>
  <c r="F396" i="5"/>
  <c r="F392" i="5"/>
  <c r="F390" i="5" s="1"/>
  <c r="F388" i="5"/>
  <c r="F387" i="5"/>
  <c r="F386" i="5"/>
  <c r="F384" i="5"/>
  <c r="F383" i="5"/>
  <c r="F381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6" i="5"/>
  <c r="F355" i="5"/>
  <c r="F354" i="5"/>
  <c r="F353" i="5"/>
  <c r="F352" i="5"/>
  <c r="F349" i="5"/>
  <c r="F346" i="5"/>
  <c r="F345" i="5"/>
  <c r="F344" i="5"/>
  <c r="F343" i="5"/>
  <c r="F342" i="5"/>
  <c r="F340" i="5"/>
  <c r="F339" i="5"/>
  <c r="F338" i="5"/>
  <c r="F337" i="5"/>
  <c r="F336" i="5"/>
  <c r="F335" i="5"/>
  <c r="F334" i="5"/>
  <c r="F333" i="5"/>
  <c r="F332" i="5"/>
  <c r="F331" i="5"/>
  <c r="F330" i="5"/>
  <c r="F327" i="5"/>
  <c r="F326" i="5"/>
  <c r="F325" i="5"/>
  <c r="F324" i="5"/>
  <c r="F323" i="5"/>
  <c r="F322" i="5"/>
  <c r="F321" i="5"/>
  <c r="F320" i="5"/>
  <c r="F319" i="5"/>
  <c r="F318" i="5"/>
  <c r="F317" i="5"/>
  <c r="F314" i="5"/>
  <c r="F313" i="5"/>
  <c r="F312" i="5"/>
  <c r="F309" i="5"/>
  <c r="F306" i="5"/>
  <c r="J300" i="5"/>
  <c r="F300" i="5"/>
  <c r="F298" i="5" s="1"/>
  <c r="F296" i="5"/>
  <c r="F294" i="5"/>
  <c r="F293" i="5"/>
  <c r="F289" i="5"/>
  <c r="F288" i="5" s="1"/>
  <c r="J283" i="5"/>
  <c r="F283" i="5"/>
  <c r="F276" i="5"/>
  <c r="F275" i="5"/>
  <c r="F274" i="5"/>
  <c r="F273" i="5"/>
  <c r="F270" i="5"/>
  <c r="F269" i="5"/>
  <c r="F268" i="5"/>
  <c r="I266" i="5"/>
  <c r="F255" i="5"/>
  <c r="F252" i="5"/>
  <c r="F246" i="5"/>
  <c r="F245" i="5"/>
  <c r="F238" i="5"/>
  <c r="F222" i="5"/>
  <c r="J221" i="5"/>
  <c r="F221" i="5"/>
  <c r="F220" i="5"/>
  <c r="J219" i="5"/>
  <c r="F219" i="5"/>
  <c r="F218" i="5"/>
  <c r="F217" i="5"/>
  <c r="F216" i="5"/>
  <c r="F215" i="5"/>
  <c r="F214" i="5"/>
  <c r="F213" i="5"/>
  <c r="F212" i="5"/>
  <c r="F211" i="5"/>
  <c r="F210" i="5"/>
  <c r="F207" i="5"/>
  <c r="F206" i="5"/>
  <c r="J205" i="5"/>
  <c r="F205" i="5"/>
  <c r="F204" i="5"/>
  <c r="F203" i="5"/>
  <c r="F200" i="5"/>
  <c r="J197" i="5"/>
  <c r="F197" i="5"/>
  <c r="L196" i="5"/>
  <c r="J196" i="5"/>
  <c r="F196" i="5"/>
  <c r="F181" i="5"/>
  <c r="J180" i="5"/>
  <c r="F180" i="5"/>
  <c r="J179" i="5"/>
  <c r="F179" i="5"/>
  <c r="F178" i="5"/>
  <c r="F172" i="5"/>
  <c r="F166" i="5"/>
  <c r="F163" i="5"/>
  <c r="J138" i="5"/>
  <c r="F138" i="5"/>
  <c r="J137" i="5"/>
  <c r="F137" i="5"/>
  <c r="J136" i="5"/>
  <c r="F136" i="5"/>
  <c r="J135" i="5"/>
  <c r="F135" i="5"/>
  <c r="F133" i="5"/>
  <c r="J122" i="5"/>
  <c r="F122" i="5"/>
  <c r="F119" i="5"/>
  <c r="J118" i="5"/>
  <c r="F118" i="5"/>
  <c r="J117" i="5"/>
  <c r="F117" i="5"/>
  <c r="J116" i="5"/>
  <c r="F116" i="5"/>
  <c r="F94" i="5"/>
  <c r="K88" i="5"/>
  <c r="F88" i="5"/>
  <c r="F87" i="5"/>
  <c r="F86" i="5"/>
  <c r="F85" i="5"/>
  <c r="F83" i="5"/>
  <c r="F82" i="5"/>
  <c r="F80" i="5"/>
  <c r="F79" i="5"/>
  <c r="F78" i="5"/>
  <c r="J73" i="5"/>
  <c r="F73" i="5"/>
  <c r="F72" i="5"/>
  <c r="F71" i="5"/>
  <c r="F70" i="5"/>
  <c r="F69" i="5"/>
  <c r="K68" i="5"/>
  <c r="F68" i="5"/>
  <c r="J57" i="5"/>
  <c r="F57" i="5"/>
  <c r="J56" i="5"/>
  <c r="F56" i="5"/>
  <c r="J54" i="5"/>
  <c r="F54" i="5"/>
  <c r="J52" i="5"/>
  <c r="F52" i="5"/>
  <c r="J45" i="5"/>
  <c r="J39" i="5"/>
  <c r="J29" i="5"/>
  <c r="F29" i="5"/>
  <c r="F303" i="5" l="1"/>
  <c r="F114" i="5"/>
  <c r="F266" i="5"/>
  <c r="F160" i="5"/>
  <c r="F291" i="5"/>
  <c r="F405" i="5"/>
  <c r="F403" i="5" s="1"/>
  <c r="F394" i="5"/>
  <c r="F379" i="5"/>
  <c r="F413" i="5"/>
  <c r="F411" i="5" s="1"/>
  <c r="G37" i="1"/>
  <c r="M291" i="1"/>
  <c r="H37" i="1" l="1"/>
  <c r="H81" i="5" s="1"/>
  <c r="G81" i="5"/>
  <c r="F377" i="5"/>
  <c r="F264" i="5"/>
  <c r="G186" i="1"/>
  <c r="G346" i="5" s="1"/>
  <c r="F262" i="5" l="1"/>
  <c r="F40" i="1"/>
  <c r="F84" i="5" s="1"/>
  <c r="F65" i="5" s="1"/>
  <c r="G83" i="1" l="1"/>
  <c r="G84" i="1"/>
  <c r="H83" i="1" l="1"/>
  <c r="H117" i="5" s="1"/>
  <c r="G117" i="5"/>
  <c r="H84" i="1"/>
  <c r="H118" i="5" s="1"/>
  <c r="G118" i="5"/>
  <c r="G359" i="1"/>
  <c r="G458" i="5" s="1"/>
  <c r="G356" i="1"/>
  <c r="G455" i="5" s="1"/>
  <c r="G353" i="1"/>
  <c r="G57" i="5" s="1"/>
  <c r="G352" i="1"/>
  <c r="G29" i="5" s="1"/>
  <c r="G351" i="1"/>
  <c r="G56" i="5" s="1"/>
  <c r="G349" i="1"/>
  <c r="G451" i="5" s="1"/>
  <c r="G348" i="1"/>
  <c r="G345" i="1"/>
  <c r="G448" i="5" s="1"/>
  <c r="G344" i="1"/>
  <c r="G447" i="5" s="1"/>
  <c r="G343" i="1"/>
  <c r="G340" i="1"/>
  <c r="G337" i="1"/>
  <c r="G54" i="5" s="1"/>
  <c r="G336" i="1"/>
  <c r="G444" i="5" s="1"/>
  <c r="G334" i="1"/>
  <c r="G442" i="5" s="1"/>
  <c r="G333" i="1"/>
  <c r="G441" i="5" s="1"/>
  <c r="G332" i="1"/>
  <c r="G440" i="5" s="1"/>
  <c r="G330" i="1"/>
  <c r="G438" i="5" s="1"/>
  <c r="G327" i="1"/>
  <c r="G435" i="5" s="1"/>
  <c r="G326" i="1"/>
  <c r="G434" i="5" s="1"/>
  <c r="G325" i="1"/>
  <c r="G433" i="5" s="1"/>
  <c r="G324" i="1"/>
  <c r="G432" i="5" s="1"/>
  <c r="G322" i="1"/>
  <c r="G52" i="5" s="1"/>
  <c r="G321" i="1"/>
  <c r="G431" i="5" s="1"/>
  <c r="G320" i="1"/>
  <c r="G430" i="5" s="1"/>
  <c r="G319" i="1"/>
  <c r="G429" i="5" s="1"/>
  <c r="G318" i="1"/>
  <c r="G428" i="5" s="1"/>
  <c r="G315" i="1"/>
  <c r="G425" i="5" s="1"/>
  <c r="G312" i="1"/>
  <c r="G255" i="5" s="1"/>
  <c r="G311" i="1"/>
  <c r="G422" i="5" s="1"/>
  <c r="G310" i="1"/>
  <c r="G421" i="5" s="1"/>
  <c r="G309" i="1"/>
  <c r="G420" i="5" s="1"/>
  <c r="G308" i="1"/>
  <c r="G419" i="5" s="1"/>
  <c r="G418" i="5"/>
  <c r="G306" i="1"/>
  <c r="G303" i="1"/>
  <c r="G252" i="5" s="1"/>
  <c r="G302" i="1"/>
  <c r="G415" i="5" s="1"/>
  <c r="G299" i="1"/>
  <c r="G293" i="1"/>
  <c r="G246" i="5" s="1"/>
  <c r="G292" i="1"/>
  <c r="G245" i="5" s="1"/>
  <c r="G291" i="1"/>
  <c r="G409" i="5" s="1"/>
  <c r="G290" i="1"/>
  <c r="G408" i="5" s="1"/>
  <c r="G289" i="1"/>
  <c r="G407" i="5" s="1"/>
  <c r="G285" i="1"/>
  <c r="G282" i="1"/>
  <c r="G238" i="5"/>
  <c r="G275" i="1"/>
  <c r="G152" i="1"/>
  <c r="G318" i="5" s="1"/>
  <c r="G151" i="1"/>
  <c r="G317" i="5" s="1"/>
  <c r="G148" i="1"/>
  <c r="G197" i="5" s="1"/>
  <c r="G147" i="1"/>
  <c r="G314" i="5" s="1"/>
  <c r="G146" i="1"/>
  <c r="G313" i="5" s="1"/>
  <c r="G145" i="1"/>
  <c r="G144" i="1"/>
  <c r="G312" i="5" s="1"/>
  <c r="G141" i="1"/>
  <c r="G309" i="5" s="1"/>
  <c r="G138" i="1"/>
  <c r="G306" i="5" s="1"/>
  <c r="G131" i="1"/>
  <c r="G300" i="5" s="1"/>
  <c r="G298" i="5" s="1"/>
  <c r="G127" i="1"/>
  <c r="G122" i="1" s="1"/>
  <c r="G120" i="1"/>
  <c r="G117" i="1"/>
  <c r="G296" i="5" s="1"/>
  <c r="G115" i="1"/>
  <c r="G294" i="5" s="1"/>
  <c r="G114" i="1"/>
  <c r="G293" i="5" s="1"/>
  <c r="G110" i="1"/>
  <c r="G289" i="5" s="1"/>
  <c r="G288" i="5" s="1"/>
  <c r="G104" i="1"/>
  <c r="G283" i="5" s="1"/>
  <c r="G97" i="1"/>
  <c r="G96" i="1"/>
  <c r="G122" i="5" s="1"/>
  <c r="G93" i="1"/>
  <c r="G90" i="1"/>
  <c r="G276" i="5" s="1"/>
  <c r="G89" i="1"/>
  <c r="G181" i="5" s="1"/>
  <c r="G88" i="1"/>
  <c r="G275" i="5" s="1"/>
  <c r="G87" i="1"/>
  <c r="G180" i="5" s="1"/>
  <c r="G86" i="1"/>
  <c r="G179" i="5" s="1"/>
  <c r="G85" i="1"/>
  <c r="G119" i="5" s="1"/>
  <c r="G81" i="1"/>
  <c r="G274" i="5" s="1"/>
  <c r="G80" i="1"/>
  <c r="G273" i="5" s="1"/>
  <c r="G79" i="1"/>
  <c r="G178" i="5" s="1"/>
  <c r="G82" i="1"/>
  <c r="G116" i="5" s="1"/>
  <c r="G76" i="1"/>
  <c r="G270" i="5" s="1"/>
  <c r="G75" i="1"/>
  <c r="G269" i="5" s="1"/>
  <c r="G74" i="1"/>
  <c r="G52" i="1"/>
  <c r="G94" i="5" s="1"/>
  <c r="G51" i="1"/>
  <c r="G172" i="5" s="1"/>
  <c r="G49" i="1"/>
  <c r="G48" i="1"/>
  <c r="G44" i="1"/>
  <c r="G88" i="5" s="1"/>
  <c r="G43" i="1"/>
  <c r="G87" i="5" s="1"/>
  <c r="G42" i="1"/>
  <c r="G86" i="5" s="1"/>
  <c r="G33" i="1"/>
  <c r="G166" i="5" s="1"/>
  <c r="G41" i="1"/>
  <c r="G85" i="5" s="1"/>
  <c r="G40" i="1"/>
  <c r="G84" i="5" s="1"/>
  <c r="G83" i="5"/>
  <c r="G38" i="1"/>
  <c r="G82" i="5" s="1"/>
  <c r="G36" i="1"/>
  <c r="G80" i="5" s="1"/>
  <c r="G35" i="1"/>
  <c r="G79" i="5" s="1"/>
  <c r="G34" i="1"/>
  <c r="G78" i="5" s="1"/>
  <c r="G28" i="1"/>
  <c r="G73" i="5" s="1"/>
  <c r="G23" i="1"/>
  <c r="G163" i="5" s="1"/>
  <c r="G72" i="5"/>
  <c r="G26" i="1"/>
  <c r="G71" i="5" s="1"/>
  <c r="G27" i="1"/>
  <c r="G70" i="5" s="1"/>
  <c r="G25" i="1"/>
  <c r="G69" i="5" s="1"/>
  <c r="G46" i="1" l="1"/>
  <c r="G196" i="5"/>
  <c r="G413" i="5"/>
  <c r="G411" i="5" s="1"/>
  <c r="G268" i="5"/>
  <c r="G266" i="5" s="1"/>
  <c r="G72" i="1"/>
  <c r="G291" i="5"/>
  <c r="G405" i="5"/>
  <c r="G403" i="5" s="1"/>
  <c r="G114" i="5"/>
  <c r="F287" i="1" l="1"/>
  <c r="F277" i="1"/>
  <c r="F263" i="1"/>
  <c r="F260" i="1"/>
  <c r="F256" i="1"/>
  <c r="F245" i="1"/>
  <c r="F20" i="1"/>
  <c r="F68" i="1" l="1"/>
  <c r="F18" i="1"/>
  <c r="G181" i="1"/>
  <c r="G158" i="1"/>
  <c r="H181" i="1" l="1"/>
  <c r="H345" i="5" s="1"/>
  <c r="G345" i="5"/>
  <c r="H158" i="1"/>
  <c r="H324" i="5" s="1"/>
  <c r="G324" i="5"/>
  <c r="H353" i="1"/>
  <c r="H57" i="5" s="1"/>
  <c r="H352" i="1"/>
  <c r="H29" i="5" s="1"/>
  <c r="H351" i="1"/>
  <c r="H56" i="5" s="1"/>
  <c r="H349" i="1"/>
  <c r="H451" i="5" s="1"/>
  <c r="H348" i="1"/>
  <c r="H345" i="1"/>
  <c r="H448" i="5" s="1"/>
  <c r="H344" i="1"/>
  <c r="H447" i="5" s="1"/>
  <c r="H343" i="1"/>
  <c r="H340" i="1"/>
  <c r="H337" i="1"/>
  <c r="H54" i="5" s="1"/>
  <c r="H336" i="1"/>
  <c r="H444" i="5" s="1"/>
  <c r="H334" i="1"/>
  <c r="H442" i="5" s="1"/>
  <c r="H333" i="1"/>
  <c r="H441" i="5" s="1"/>
  <c r="H332" i="1"/>
  <c r="H440" i="5" s="1"/>
  <c r="H330" i="1"/>
  <c r="H438" i="5" s="1"/>
  <c r="H327" i="1"/>
  <c r="H435" i="5" s="1"/>
  <c r="H326" i="1"/>
  <c r="H434" i="5" s="1"/>
  <c r="H325" i="1"/>
  <c r="H433" i="5" s="1"/>
  <c r="H324" i="1"/>
  <c r="H432" i="5" s="1"/>
  <c r="H322" i="1"/>
  <c r="H52" i="5" s="1"/>
  <c r="H321" i="1"/>
  <c r="H431" i="5" s="1"/>
  <c r="H320" i="1"/>
  <c r="H430" i="5" s="1"/>
  <c r="H319" i="1"/>
  <c r="H429" i="5" s="1"/>
  <c r="H318" i="1"/>
  <c r="H428" i="5" s="1"/>
  <c r="H315" i="1"/>
  <c r="H425" i="5" s="1"/>
  <c r="H312" i="1"/>
  <c r="H255" i="5" s="1"/>
  <c r="H311" i="1"/>
  <c r="H422" i="5" s="1"/>
  <c r="H310" i="1"/>
  <c r="H421" i="5" s="1"/>
  <c r="H309" i="1"/>
  <c r="H420" i="5" s="1"/>
  <c r="H308" i="1"/>
  <c r="H419" i="5" s="1"/>
  <c r="H307" i="1"/>
  <c r="H418" i="5" s="1"/>
  <c r="H306" i="1"/>
  <c r="H303" i="1"/>
  <c r="H252" i="5" s="1"/>
  <c r="H359" i="1"/>
  <c r="H458" i="5" s="1"/>
  <c r="H356" i="1"/>
  <c r="H455" i="5" s="1"/>
  <c r="F297" i="1"/>
  <c r="F295" i="1" s="1"/>
  <c r="G269" i="1" l="1"/>
  <c r="G400" i="5" s="1"/>
  <c r="G267" i="1"/>
  <c r="G398" i="5" s="1"/>
  <c r="G265" i="1"/>
  <c r="G396" i="5" s="1"/>
  <c r="G261" i="1"/>
  <c r="G258" i="1"/>
  <c r="G392" i="5" s="1"/>
  <c r="G390" i="5" s="1"/>
  <c r="G254" i="1"/>
  <c r="G388" i="5" s="1"/>
  <c r="G253" i="1"/>
  <c r="G387" i="5" s="1"/>
  <c r="G252" i="1"/>
  <c r="G386" i="5" s="1"/>
  <c r="G250" i="1"/>
  <c r="G384" i="5" s="1"/>
  <c r="G249" i="1"/>
  <c r="G383" i="5" s="1"/>
  <c r="G247" i="1"/>
  <c r="G381" i="5" s="1"/>
  <c r="G243" i="1"/>
  <c r="G241" i="1"/>
  <c r="G235" i="1"/>
  <c r="G375" i="5" s="1"/>
  <c r="G234" i="1"/>
  <c r="G374" i="5" s="1"/>
  <c r="G233" i="1"/>
  <c r="G373" i="5" s="1"/>
  <c r="G232" i="1"/>
  <c r="G372" i="5" s="1"/>
  <c r="G231" i="1"/>
  <c r="G371" i="5" s="1"/>
  <c r="G230" i="1"/>
  <c r="G370" i="5" s="1"/>
  <c r="G229" i="1"/>
  <c r="G369" i="5" s="1"/>
  <c r="G228" i="1"/>
  <c r="G368" i="5" s="1"/>
  <c r="G227" i="1"/>
  <c r="G367" i="5" s="1"/>
  <c r="G226" i="1"/>
  <c r="G366" i="5" s="1"/>
  <c r="G225" i="1"/>
  <c r="G365" i="5" s="1"/>
  <c r="G224" i="1"/>
  <c r="G364" i="5" s="1"/>
  <c r="G223" i="1"/>
  <c r="G363" i="5" s="1"/>
  <c r="G222" i="1"/>
  <c r="G362" i="5" s="1"/>
  <c r="G221" i="1"/>
  <c r="G361" i="5" s="1"/>
  <c r="G220" i="1"/>
  <c r="G360" i="5" s="1"/>
  <c r="G216" i="1"/>
  <c r="G138" i="5" s="1"/>
  <c r="G215" i="1"/>
  <c r="G137" i="5" s="1"/>
  <c r="G214" i="1"/>
  <c r="G222" i="5" s="1"/>
  <c r="G213" i="1"/>
  <c r="G221" i="5" s="1"/>
  <c r="G212" i="1"/>
  <c r="G136" i="5" s="1"/>
  <c r="G211" i="1"/>
  <c r="G220" i="5" s="1"/>
  <c r="G210" i="1"/>
  <c r="G356" i="5" s="1"/>
  <c r="G209" i="1"/>
  <c r="G135" i="5" s="1"/>
  <c r="G208" i="1"/>
  <c r="G219" i="5" s="1"/>
  <c r="G206" i="1"/>
  <c r="G133" i="5" s="1"/>
  <c r="G205" i="1"/>
  <c r="G218" i="5" s="1"/>
  <c r="G204" i="1"/>
  <c r="G217" i="5" s="1"/>
  <c r="G203" i="1"/>
  <c r="G216" i="5" s="1"/>
  <c r="G202" i="1"/>
  <c r="G215" i="5" s="1"/>
  <c r="G201" i="1"/>
  <c r="G214" i="5" s="1"/>
  <c r="G213" i="5"/>
  <c r="G198" i="1"/>
  <c r="G354" i="5" s="1"/>
  <c r="G199" i="1"/>
  <c r="G355" i="5" s="1"/>
  <c r="G197" i="1"/>
  <c r="G212" i="5" s="1"/>
  <c r="G196" i="1"/>
  <c r="G211" i="5" s="1"/>
  <c r="G195" i="1"/>
  <c r="G210" i="5" s="1"/>
  <c r="G194" i="1"/>
  <c r="G353" i="5" s="1"/>
  <c r="G193" i="1"/>
  <c r="G352" i="5" s="1"/>
  <c r="G192" i="1"/>
  <c r="G189" i="1"/>
  <c r="G349" i="5" s="1"/>
  <c r="G185" i="1"/>
  <c r="G207" i="5" s="1"/>
  <c r="G184" i="1"/>
  <c r="G206" i="5" s="1"/>
  <c r="G183" i="1"/>
  <c r="G205" i="5" s="1"/>
  <c r="G182" i="1"/>
  <c r="G204" i="5" s="1"/>
  <c r="G180" i="1"/>
  <c r="G344" i="5" s="1"/>
  <c r="G179" i="1"/>
  <c r="G343" i="5" s="1"/>
  <c r="G178" i="1"/>
  <c r="G342" i="5" s="1"/>
  <c r="G176" i="1"/>
  <c r="G340" i="5" s="1"/>
  <c r="G175" i="1"/>
  <c r="G339" i="5" s="1"/>
  <c r="G174" i="1"/>
  <c r="G203" i="5" s="1"/>
  <c r="G173" i="1"/>
  <c r="G338" i="5" s="1"/>
  <c r="G172" i="1"/>
  <c r="G337" i="5" s="1"/>
  <c r="G171" i="1"/>
  <c r="G336" i="5" s="1"/>
  <c r="G170" i="1"/>
  <c r="G169" i="1"/>
  <c r="G334" i="5" s="1"/>
  <c r="G168" i="1"/>
  <c r="G167" i="1"/>
  <c r="G166" i="1"/>
  <c r="G331" i="5" s="1"/>
  <c r="G165" i="1"/>
  <c r="G330" i="5" s="1"/>
  <c r="G200" i="5"/>
  <c r="G161" i="1"/>
  <c r="G327" i="5" s="1"/>
  <c r="G160" i="1"/>
  <c r="G326" i="5" s="1"/>
  <c r="G159" i="1"/>
  <c r="G325" i="5" s="1"/>
  <c r="G157" i="1"/>
  <c r="G323" i="5" s="1"/>
  <c r="G156" i="1"/>
  <c r="G322" i="5" s="1"/>
  <c r="G155" i="1"/>
  <c r="G321" i="5" s="1"/>
  <c r="G154" i="1"/>
  <c r="G320" i="5" s="1"/>
  <c r="G153" i="1"/>
  <c r="G319" i="5" s="1"/>
  <c r="G24" i="1"/>
  <c r="G68" i="5" s="1"/>
  <c r="G65" i="5" s="1"/>
  <c r="F239" i="1"/>
  <c r="G287" i="1"/>
  <c r="G333" i="5" l="1"/>
  <c r="G134" i="1"/>
  <c r="G335" i="5"/>
  <c r="H170" i="1"/>
  <c r="G332" i="5"/>
  <c r="G379" i="5"/>
  <c r="G394" i="5"/>
  <c r="G297" i="1"/>
  <c r="G303" i="5" l="1"/>
  <c r="G264" i="5" s="1"/>
  <c r="G377" i="5"/>
  <c r="H302" i="1"/>
  <c r="H415" i="5" s="1"/>
  <c r="H413" i="5" s="1"/>
  <c r="H411" i="5" s="1"/>
  <c r="H289" i="1"/>
  <c r="H407" i="5" s="1"/>
  <c r="H291" i="1"/>
  <c r="H409" i="5" s="1"/>
  <c r="H290" i="1"/>
  <c r="H408" i="5" s="1"/>
  <c r="H269" i="1"/>
  <c r="H400" i="5" s="1"/>
  <c r="H267" i="1"/>
  <c r="H398" i="5" s="1"/>
  <c r="H258" i="1"/>
  <c r="G262" i="5" l="1"/>
  <c r="H256" i="1"/>
  <c r="H392" i="5"/>
  <c r="H390" i="5" s="1"/>
  <c r="H405" i="5"/>
  <c r="H403" i="5" s="1"/>
  <c r="H265" i="1"/>
  <c r="G263" i="1"/>
  <c r="G256" i="1"/>
  <c r="H263" i="1" l="1"/>
  <c r="H396" i="5"/>
  <c r="H394" i="5" s="1"/>
  <c r="H254" i="1"/>
  <c r="H388" i="5" s="1"/>
  <c r="H253" i="1"/>
  <c r="H387" i="5" s="1"/>
  <c r="H252" i="1"/>
  <c r="H386" i="5" s="1"/>
  <c r="H250" i="1"/>
  <c r="H384" i="5" s="1"/>
  <c r="H249" i="1"/>
  <c r="H383" i="5" s="1"/>
  <c r="H235" i="1"/>
  <c r="H375" i="5" s="1"/>
  <c r="H234" i="1"/>
  <c r="H374" i="5" s="1"/>
  <c r="H233" i="1"/>
  <c r="H373" i="5" s="1"/>
  <c r="H232" i="1"/>
  <c r="H372" i="5" s="1"/>
  <c r="H231" i="1"/>
  <c r="H371" i="5" s="1"/>
  <c r="H230" i="1"/>
  <c r="H370" i="5" s="1"/>
  <c r="H229" i="1"/>
  <c r="H369" i="5" s="1"/>
  <c r="H228" i="1"/>
  <c r="H368" i="5" s="1"/>
  <c r="H227" i="1"/>
  <c r="H367" i="5" s="1"/>
  <c r="H226" i="1"/>
  <c r="H366" i="5" s="1"/>
  <c r="H225" i="1"/>
  <c r="H365" i="5" s="1"/>
  <c r="H224" i="1"/>
  <c r="H364" i="5" s="1"/>
  <c r="H223" i="1"/>
  <c r="H363" i="5" s="1"/>
  <c r="H222" i="1"/>
  <c r="H362" i="5" s="1"/>
  <c r="H221" i="1"/>
  <c r="H361" i="5" s="1"/>
  <c r="H220" i="1"/>
  <c r="H360" i="5" s="1"/>
  <c r="H210" i="1"/>
  <c r="H356" i="5" s="1"/>
  <c r="H198" i="1"/>
  <c r="H354" i="5" s="1"/>
  <c r="H199" i="1"/>
  <c r="H355" i="5" s="1"/>
  <c r="H194" i="1"/>
  <c r="H353" i="5" s="1"/>
  <c r="H193" i="1"/>
  <c r="H352" i="5" s="1"/>
  <c r="H189" i="1"/>
  <c r="H349" i="5" s="1"/>
  <c r="H175" i="1"/>
  <c r="H339" i="5" s="1"/>
  <c r="H186" i="1"/>
  <c r="H346" i="5" s="1"/>
  <c r="H180" i="1"/>
  <c r="H344" i="5" s="1"/>
  <c r="H179" i="1"/>
  <c r="H343" i="5" s="1"/>
  <c r="H178" i="1"/>
  <c r="H342" i="5" s="1"/>
  <c r="H176" i="1"/>
  <c r="H340" i="5" s="1"/>
  <c r="H166" i="1"/>
  <c r="H331" i="5" s="1"/>
  <c r="H173" i="1"/>
  <c r="H338" i="5" s="1"/>
  <c r="H172" i="1"/>
  <c r="H337" i="5" s="1"/>
  <c r="H171" i="1"/>
  <c r="H336" i="5" s="1"/>
  <c r="H335" i="5"/>
  <c r="H169" i="1"/>
  <c r="H334" i="5" s="1"/>
  <c r="H168" i="1"/>
  <c r="H333" i="5" s="1"/>
  <c r="H167" i="1"/>
  <c r="H165" i="1"/>
  <c r="H330" i="5" s="1"/>
  <c r="H332" i="5" l="1"/>
  <c r="H247" i="1"/>
  <c r="G245" i="1"/>
  <c r="H161" i="1"/>
  <c r="H327" i="5" s="1"/>
  <c r="H160" i="1"/>
  <c r="H326" i="5" s="1"/>
  <c r="H159" i="1"/>
  <c r="H325" i="5" s="1"/>
  <c r="H157" i="1"/>
  <c r="H323" i="5" s="1"/>
  <c r="H156" i="1"/>
  <c r="H322" i="5" s="1"/>
  <c r="H155" i="1"/>
  <c r="H321" i="5" s="1"/>
  <c r="H154" i="1"/>
  <c r="H320" i="5" s="1"/>
  <c r="H153" i="1"/>
  <c r="H319" i="5" s="1"/>
  <c r="H152" i="1"/>
  <c r="H318" i="5" s="1"/>
  <c r="H151" i="1"/>
  <c r="H317" i="5" s="1"/>
  <c r="H147" i="1"/>
  <c r="H314" i="5" s="1"/>
  <c r="H146" i="1"/>
  <c r="H313" i="5" s="1"/>
  <c r="H144" i="1"/>
  <c r="H312" i="5" s="1"/>
  <c r="H141" i="1"/>
  <c r="H309" i="5" s="1"/>
  <c r="F129" i="1"/>
  <c r="H131" i="1"/>
  <c r="F112" i="1"/>
  <c r="H117" i="1"/>
  <c r="H296" i="5" s="1"/>
  <c r="H115" i="1"/>
  <c r="H294" i="5" s="1"/>
  <c r="H114" i="1"/>
  <c r="H293" i="5" s="1"/>
  <c r="H110" i="1"/>
  <c r="F109" i="1"/>
  <c r="H104" i="1"/>
  <c r="H283" i="5" s="1"/>
  <c r="H109" i="1" l="1"/>
  <c r="H289" i="5"/>
  <c r="H288" i="5" s="1"/>
  <c r="H245" i="1"/>
  <c r="H381" i="5"/>
  <c r="H379" i="5" s="1"/>
  <c r="H377" i="5" s="1"/>
  <c r="H291" i="5"/>
  <c r="H129" i="1"/>
  <c r="H300" i="5"/>
  <c r="H298" i="5" s="1"/>
  <c r="H138" i="1"/>
  <c r="G129" i="1"/>
  <c r="H112" i="1"/>
  <c r="G112" i="1"/>
  <c r="G109" i="1"/>
  <c r="H306" i="5" l="1"/>
  <c r="H303" i="5" s="1"/>
  <c r="H90" i="1"/>
  <c r="H276" i="5" s="1"/>
  <c r="H88" i="1"/>
  <c r="H275" i="5" s="1"/>
  <c r="H81" i="1"/>
  <c r="H274" i="5" s="1"/>
  <c r="H80" i="1"/>
  <c r="H273" i="5" s="1"/>
  <c r="H76" i="1"/>
  <c r="H270" i="5" s="1"/>
  <c r="H75" i="1"/>
  <c r="H269" i="5" s="1"/>
  <c r="H74" i="1"/>
  <c r="H268" i="5" l="1"/>
  <c r="F39" i="5"/>
  <c r="F36" i="5" s="1"/>
  <c r="H266" i="5" l="1"/>
  <c r="H264" i="5" s="1"/>
  <c r="H262" i="5" s="1"/>
  <c r="F34" i="5"/>
  <c r="K87" i="5" l="1"/>
  <c r="J184" i="5"/>
  <c r="F184" i="5"/>
  <c r="G39" i="5" l="1"/>
  <c r="H127" i="1"/>
  <c r="H122" i="1" s="1"/>
  <c r="G184" i="5"/>
  <c r="G36" i="5" l="1"/>
  <c r="G34" i="5" s="1"/>
  <c r="H39" i="5"/>
  <c r="H38" i="1"/>
  <c r="H82" i="5" s="1"/>
  <c r="H93" i="1"/>
  <c r="H184" i="5" s="1"/>
  <c r="H36" i="5" l="1"/>
  <c r="H34" i="5" s="1"/>
  <c r="J220" i="5"/>
  <c r="H211" i="1" l="1"/>
  <c r="H220" i="5" s="1"/>
  <c r="H28" i="1" l="1"/>
  <c r="H73" i="5" s="1"/>
  <c r="H299" i="1"/>
  <c r="H297" i="1" s="1"/>
  <c r="G57" i="7" l="1"/>
  <c r="H57" i="7" s="1"/>
  <c r="G55" i="7"/>
  <c r="H55" i="7" s="1"/>
  <c r="G53" i="7"/>
  <c r="H53" i="7" s="1"/>
  <c r="G52" i="7"/>
  <c r="H52" i="7" s="1"/>
  <c r="G51" i="7"/>
  <c r="H51" i="7" s="1"/>
  <c r="G50" i="7"/>
  <c r="H50" i="7" s="1"/>
  <c r="G47" i="7"/>
  <c r="H47" i="7" s="1"/>
  <c r="G45" i="7"/>
  <c r="H45" i="7" s="1"/>
  <c r="G43" i="7"/>
  <c r="H43" i="7" s="1"/>
  <c r="G42" i="7"/>
  <c r="H42" i="7" s="1"/>
  <c r="G40" i="7"/>
  <c r="H40" i="7" s="1"/>
  <c r="G38" i="7"/>
  <c r="H38" i="7" s="1"/>
  <c r="G35" i="7"/>
  <c r="H35" i="7" s="1"/>
  <c r="G33" i="7"/>
  <c r="H33" i="7" s="1"/>
  <c r="G32" i="7"/>
  <c r="H32" i="7" s="1"/>
  <c r="G30" i="7"/>
  <c r="H30" i="7" s="1"/>
  <c r="G29" i="7"/>
  <c r="H29" i="7" s="1"/>
  <c r="G28" i="7"/>
  <c r="H28" i="7" s="1"/>
  <c r="G27" i="7"/>
  <c r="H27" i="7" s="1"/>
  <c r="G25" i="7"/>
  <c r="H25" i="7" s="1"/>
  <c r="G24" i="7"/>
  <c r="H24" i="7" s="1"/>
  <c r="G22" i="7"/>
  <c r="H22" i="7" s="1"/>
  <c r="G21" i="7"/>
  <c r="H21" i="7" s="1"/>
  <c r="G19" i="7"/>
  <c r="H19" i="7" s="1"/>
  <c r="G17" i="7"/>
  <c r="H17" i="7" s="1"/>
  <c r="G16" i="7"/>
  <c r="H16" i="7" s="1"/>
  <c r="F14" i="7"/>
  <c r="H14" i="7" l="1"/>
  <c r="G14" i="7"/>
  <c r="F92" i="5" l="1"/>
  <c r="F90" i="5" s="1"/>
  <c r="F110" i="5" l="1"/>
  <c r="F62" i="5"/>
  <c r="H48" i="1"/>
  <c r="G92" i="5"/>
  <c r="G90" i="5" s="1"/>
  <c r="G110" i="5" l="1"/>
  <c r="G62" i="5"/>
  <c r="H92" i="5"/>
  <c r="F228" i="5" l="1"/>
  <c r="F227" i="5" s="1"/>
  <c r="G228" i="5" l="1"/>
  <c r="G227" i="5" s="1"/>
  <c r="H241" i="1"/>
  <c r="H228" i="5" s="1"/>
  <c r="H227" i="5" s="1"/>
  <c r="F152" i="5" l="1"/>
  <c r="F259" i="5"/>
  <c r="F257" i="5"/>
  <c r="F254" i="5"/>
  <c r="F150" i="5"/>
  <c r="F45" i="5"/>
  <c r="F43" i="5" s="1"/>
  <c r="F41" i="5" s="1"/>
  <c r="F241" i="5"/>
  <c r="F235" i="5" s="1"/>
  <c r="F231" i="5"/>
  <c r="F230" i="5" s="1"/>
  <c r="F225" i="5" s="1"/>
  <c r="F23" i="5"/>
  <c r="F22" i="5" s="1"/>
  <c r="F20" i="5" s="1"/>
  <c r="F132" i="5"/>
  <c r="F194" i="5"/>
  <c r="G190" i="5"/>
  <c r="G189" i="5" s="1"/>
  <c r="F190" i="5"/>
  <c r="F189" i="5" s="1"/>
  <c r="F187" i="5"/>
  <c r="F176" i="5" s="1"/>
  <c r="F170" i="5"/>
  <c r="F168" i="5" s="1"/>
  <c r="F174" i="5" s="1"/>
  <c r="I176" i="5"/>
  <c r="I114" i="5"/>
  <c r="F157" i="5" l="1"/>
  <c r="F250" i="5"/>
  <c r="F248" i="5" s="1"/>
  <c r="F49" i="5"/>
  <c r="F47" i="5" s="1"/>
  <c r="F27" i="5"/>
  <c r="F25" i="5" s="1"/>
  <c r="F18" i="5" s="1"/>
  <c r="F243" i="5"/>
  <c r="F233" i="5" s="1"/>
  <c r="F148" i="5"/>
  <c r="F146" i="5" s="1"/>
  <c r="F130" i="5"/>
  <c r="F155" i="5" l="1"/>
  <c r="F32" i="5"/>
  <c r="H35" i="1" l="1"/>
  <c r="H79" i="5" s="1"/>
  <c r="H40" i="1"/>
  <c r="H84" i="5" s="1"/>
  <c r="G57" i="4"/>
  <c r="H57" i="4" s="1"/>
  <c r="G55" i="4"/>
  <c r="H55" i="4" s="1"/>
  <c r="G53" i="4"/>
  <c r="H53" i="4" s="1"/>
  <c r="G52" i="4"/>
  <c r="H52" i="4" s="1"/>
  <c r="G51" i="4"/>
  <c r="H51" i="4" s="1"/>
  <c r="G50" i="4"/>
  <c r="H50" i="4" s="1"/>
  <c r="G47" i="4"/>
  <c r="H47" i="4" s="1"/>
  <c r="G45" i="4"/>
  <c r="H45" i="4" s="1"/>
  <c r="G43" i="4"/>
  <c r="H43" i="4" s="1"/>
  <c r="G42" i="4"/>
  <c r="H42" i="4" s="1"/>
  <c r="G40" i="4"/>
  <c r="H40" i="4" s="1"/>
  <c r="G38" i="4"/>
  <c r="H38" i="4" s="1"/>
  <c r="G35" i="4"/>
  <c r="H35" i="4" s="1"/>
  <c r="G33" i="4"/>
  <c r="H33" i="4" s="1"/>
  <c r="G32" i="4"/>
  <c r="H32" i="4" s="1"/>
  <c r="G30" i="4"/>
  <c r="H30" i="4" s="1"/>
  <c r="G29" i="4"/>
  <c r="H29" i="4" s="1"/>
  <c r="G28" i="4"/>
  <c r="H28" i="4" s="1"/>
  <c r="G27" i="4"/>
  <c r="H27" i="4" s="1"/>
  <c r="G25" i="4"/>
  <c r="H25" i="4" s="1"/>
  <c r="G24" i="4"/>
  <c r="H24" i="4" s="1"/>
  <c r="G22" i="4"/>
  <c r="H22" i="4" s="1"/>
  <c r="G21" i="4"/>
  <c r="H21" i="4" s="1"/>
  <c r="G19" i="4"/>
  <c r="H19" i="4" s="1"/>
  <c r="G17" i="4"/>
  <c r="H17" i="4" s="1"/>
  <c r="G16" i="4"/>
  <c r="H16" i="4" s="1"/>
  <c r="F14" i="4"/>
  <c r="G14" i="4" l="1"/>
  <c r="H14" i="4"/>
  <c r="F275" i="1"/>
  <c r="F144" i="5" s="1"/>
  <c r="F142" i="5" s="1"/>
  <c r="F140" i="5" l="1"/>
  <c r="F60" i="5" s="1"/>
  <c r="G187" i="5"/>
  <c r="G176" i="5" s="1"/>
  <c r="G132" i="5"/>
  <c r="G239" i="1"/>
  <c r="G231" i="5"/>
  <c r="G230" i="5" s="1"/>
  <c r="G225" i="5" s="1"/>
  <c r="G241" i="5"/>
  <c r="G235" i="5" s="1"/>
  <c r="G45" i="5"/>
  <c r="G43" i="5" s="1"/>
  <c r="G41" i="5" s="1"/>
  <c r="G152" i="5"/>
  <c r="G259" i="5"/>
  <c r="G257" i="5"/>
  <c r="G254" i="5"/>
  <c r="G150" i="5"/>
  <c r="G277" i="1" l="1"/>
  <c r="G160" i="5"/>
  <c r="G130" i="5"/>
  <c r="G112" i="5" s="1"/>
  <c r="G20" i="1"/>
  <c r="G194" i="5"/>
  <c r="G27" i="5"/>
  <c r="G25" i="5" s="1"/>
  <c r="G170" i="5"/>
  <c r="G49" i="5"/>
  <c r="G47" i="5" s="1"/>
  <c r="G32" i="5" s="1"/>
  <c r="G250" i="5"/>
  <c r="G248" i="5" s="1"/>
  <c r="G148" i="5"/>
  <c r="G146" i="5" s="1"/>
  <c r="G23" i="5"/>
  <c r="G22" i="5" s="1"/>
  <c r="G20" i="5" s="1"/>
  <c r="G243" i="5"/>
  <c r="G273" i="1"/>
  <c r="G144" i="5"/>
  <c r="G142" i="5" s="1"/>
  <c r="G140" i="5" s="1"/>
  <c r="G60" i="5" l="1"/>
  <c r="G68" i="1"/>
  <c r="G18" i="1"/>
  <c r="G168" i="5"/>
  <c r="G174" i="5" s="1"/>
  <c r="G157" i="5" s="1"/>
  <c r="G18" i="5"/>
  <c r="G233" i="5"/>
  <c r="G119" i="1"/>
  <c r="G155" i="5" l="1"/>
  <c r="H41" i="1"/>
  <c r="H85" i="5" s="1"/>
  <c r="G15" i="5" l="1"/>
  <c r="H152" i="5"/>
  <c r="H259" i="5"/>
  <c r="H257" i="5"/>
  <c r="H254" i="5"/>
  <c r="H150" i="5"/>
  <c r="H250" i="5" l="1"/>
  <c r="H248" i="5" s="1"/>
  <c r="H148" i="5"/>
  <c r="H146" i="5" s="1"/>
  <c r="H27" i="5"/>
  <c r="H25" i="5" s="1"/>
  <c r="H49" i="5"/>
  <c r="H47" i="5" s="1"/>
  <c r="P9" i="1"/>
  <c r="F15" i="5" l="1"/>
  <c r="F273" i="1"/>
  <c r="F271" i="1" s="1"/>
  <c r="H275" i="1"/>
  <c r="H144" i="5" s="1"/>
  <c r="G260" i="1" l="1"/>
  <c r="G237" i="1" s="1"/>
  <c r="F237" i="1"/>
  <c r="H261" i="1"/>
  <c r="H260" i="1" s="1"/>
  <c r="H243" i="1"/>
  <c r="H239" i="1" s="1"/>
  <c r="H237" i="1" l="1"/>
  <c r="H231" i="5"/>
  <c r="H230" i="5" s="1"/>
  <c r="H225" i="5" s="1"/>
  <c r="H23" i="5"/>
  <c r="H22" i="5" s="1"/>
  <c r="H20" i="5" s="1"/>
  <c r="H18" i="5" s="1"/>
  <c r="H85" i="1" l="1"/>
  <c r="H119" i="5" s="1"/>
  <c r="G295" i="1" l="1"/>
  <c r="G271" i="1" l="1"/>
  <c r="H295" i="1"/>
  <c r="O15" i="5" l="1"/>
  <c r="K15" i="3" l="1"/>
  <c r="K17" i="3"/>
  <c r="K18" i="3"/>
  <c r="K20" i="3"/>
  <c r="K22" i="3"/>
  <c r="K23" i="3"/>
  <c r="K25" i="3"/>
  <c r="K28" i="3"/>
  <c r="K29" i="3"/>
  <c r="K30" i="3"/>
  <c r="K31" i="3"/>
  <c r="K32" i="3"/>
  <c r="K34" i="3"/>
  <c r="K35" i="3"/>
  <c r="K37" i="3"/>
  <c r="K39" i="3"/>
  <c r="K41" i="3"/>
  <c r="K42" i="3"/>
  <c r="K44" i="3"/>
  <c r="K46" i="3"/>
  <c r="K49" i="3"/>
  <c r="K50" i="3"/>
  <c r="K51" i="3"/>
  <c r="K52" i="3"/>
  <c r="K54" i="3"/>
  <c r="K56" i="3"/>
  <c r="K26" i="3"/>
  <c r="P10" i="1" l="1"/>
  <c r="P11" i="1" s="1"/>
  <c r="N15" i="5"/>
  <c r="H293" i="1"/>
  <c r="H246" i="5" s="1"/>
  <c r="H292" i="1"/>
  <c r="H245" i="5" s="1"/>
  <c r="H285" i="1"/>
  <c r="H45" i="5" s="1"/>
  <c r="H43" i="5" s="1"/>
  <c r="H41" i="5" s="1"/>
  <c r="H238" i="5"/>
  <c r="H282" i="1"/>
  <c r="H241" i="5" s="1"/>
  <c r="H216" i="1"/>
  <c r="H138" i="5" s="1"/>
  <c r="H215" i="1"/>
  <c r="H137" i="5" s="1"/>
  <c r="H214" i="1"/>
  <c r="H222" i="5" s="1"/>
  <c r="H213" i="1"/>
  <c r="H209" i="1"/>
  <c r="H135" i="5" s="1"/>
  <c r="H208" i="1"/>
  <c r="H219" i="5" s="1"/>
  <c r="H205" i="1"/>
  <c r="H218" i="5" s="1"/>
  <c r="H204" i="1"/>
  <c r="H217" i="5" s="1"/>
  <c r="H203" i="1"/>
  <c r="H216" i="5" s="1"/>
  <c r="H202" i="1"/>
  <c r="H215" i="5" s="1"/>
  <c r="H201" i="1"/>
  <c r="H214" i="5" s="1"/>
  <c r="H200" i="1"/>
  <c r="H213" i="5" s="1"/>
  <c r="H197" i="1"/>
  <c r="H212" i="5" s="1"/>
  <c r="H212" i="1"/>
  <c r="H136" i="5" s="1"/>
  <c r="H206" i="1"/>
  <c r="H133" i="5" s="1"/>
  <c r="H196" i="1"/>
  <c r="H211" i="5" s="1"/>
  <c r="H195" i="1"/>
  <c r="H210" i="5" s="1"/>
  <c r="H192" i="1"/>
  <c r="H132" i="5" s="1"/>
  <c r="H185" i="1"/>
  <c r="H207" i="5" s="1"/>
  <c r="H184" i="1"/>
  <c r="H206" i="5" s="1"/>
  <c r="H183" i="1"/>
  <c r="H205" i="5" s="1"/>
  <c r="H182" i="1"/>
  <c r="H204" i="5" s="1"/>
  <c r="H174" i="1"/>
  <c r="H203" i="5" s="1"/>
  <c r="H162" i="1"/>
  <c r="H200" i="5" s="1"/>
  <c r="H148" i="1"/>
  <c r="H197" i="5" s="1"/>
  <c r="H145" i="1"/>
  <c r="H120" i="1"/>
  <c r="H52" i="1"/>
  <c r="H94" i="5" s="1"/>
  <c r="H90" i="5" s="1"/>
  <c r="H51" i="1"/>
  <c r="H172" i="5" s="1"/>
  <c r="H49" i="1"/>
  <c r="H29" i="1"/>
  <c r="H72" i="5" s="1"/>
  <c r="H97" i="1"/>
  <c r="H187" i="5" s="1"/>
  <c r="H96" i="1"/>
  <c r="H122" i="5" s="1"/>
  <c r="H44" i="1"/>
  <c r="H88" i="5" s="1"/>
  <c r="H89" i="1"/>
  <c r="H181" i="5" s="1"/>
  <c r="H43" i="1"/>
  <c r="H87" i="5" s="1"/>
  <c r="H42" i="1"/>
  <c r="H86" i="5" s="1"/>
  <c r="H87" i="1"/>
  <c r="H180" i="5" s="1"/>
  <c r="H86" i="1"/>
  <c r="H179" i="5" s="1"/>
  <c r="H33" i="1"/>
  <c r="H166" i="5" s="1"/>
  <c r="H39" i="1"/>
  <c r="H83" i="5" s="1"/>
  <c r="H79" i="1"/>
  <c r="H36" i="1"/>
  <c r="H80" i="5" s="1"/>
  <c r="H82" i="1"/>
  <c r="H116" i="5" s="1"/>
  <c r="H23" i="1"/>
  <c r="H163" i="5" s="1"/>
  <c r="H26" i="1"/>
  <c r="H71" i="5" s="1"/>
  <c r="H27" i="1"/>
  <c r="H70" i="5" s="1"/>
  <c r="H25" i="1"/>
  <c r="H69" i="5" s="1"/>
  <c r="H24" i="1"/>
  <c r="H68" i="5" s="1"/>
  <c r="H34" i="1"/>
  <c r="H78" i="5" s="1"/>
  <c r="H46" i="1" l="1"/>
  <c r="H196" i="5"/>
  <c r="H134" i="1"/>
  <c r="H221" i="5"/>
  <c r="H178" i="5"/>
  <c r="H176" i="5" s="1"/>
  <c r="H72" i="1"/>
  <c r="H235" i="5"/>
  <c r="H65" i="5"/>
  <c r="H114" i="5"/>
  <c r="H20" i="1"/>
  <c r="H243" i="5"/>
  <c r="H287" i="1"/>
  <c r="H277" i="1"/>
  <c r="H130" i="5"/>
  <c r="H170" i="5"/>
  <c r="H142" i="5"/>
  <c r="H140" i="5" s="1"/>
  <c r="H32" i="5"/>
  <c r="H119" i="1"/>
  <c r="H190" i="5"/>
  <c r="H189" i="5" s="1"/>
  <c r="H273" i="1"/>
  <c r="H110" i="5" l="1"/>
  <c r="H62" i="5"/>
  <c r="H112" i="5"/>
  <c r="H18" i="1"/>
  <c r="H68" i="1"/>
  <c r="H194" i="5"/>
  <c r="H160" i="5"/>
  <c r="H168" i="5"/>
  <c r="H233" i="5"/>
  <c r="H271" i="1"/>
  <c r="H60" i="5" l="1"/>
  <c r="H174" i="5"/>
  <c r="H157" i="5" s="1"/>
  <c r="H155" i="5" s="1"/>
  <c r="B4" i="8"/>
  <c r="B8" i="8"/>
  <c r="B16" i="8"/>
  <c r="B5" i="8"/>
  <c r="B13" i="8"/>
  <c r="B2" i="8"/>
  <c r="B10" i="8"/>
  <c r="B18" i="8"/>
  <c r="B7" i="8"/>
  <c r="B15" i="8"/>
  <c r="C1" i="8"/>
  <c r="C9" i="8"/>
  <c r="C17" i="8"/>
  <c r="D6" i="8"/>
  <c r="D14" i="8"/>
  <c r="C4" i="8"/>
  <c r="C12" i="8"/>
  <c r="D1" i="8"/>
  <c r="D9" i="8"/>
  <c r="D17" i="8"/>
  <c r="C7" i="8"/>
  <c r="C15" i="8"/>
  <c r="D4" i="8"/>
  <c r="D12" i="8"/>
  <c r="C2" i="8"/>
  <c r="C10" i="8"/>
  <c r="C18" i="8"/>
  <c r="D7" i="8"/>
  <c r="D15" i="8"/>
  <c r="B12" i="8"/>
  <c r="B1" i="8"/>
  <c r="B9" i="8"/>
  <c r="B17" i="8"/>
  <c r="B6" i="8"/>
  <c r="B14" i="8"/>
  <c r="B3" i="8"/>
  <c r="B11" i="8"/>
  <c r="B19" i="8"/>
  <c r="C5" i="8"/>
  <c r="C13" i="8"/>
  <c r="D2" i="8"/>
  <c r="D10" i="8"/>
  <c r="D18" i="8"/>
  <c r="C8" i="8"/>
  <c r="C16" i="8"/>
  <c r="D5" i="8"/>
  <c r="D13" i="8"/>
  <c r="C3" i="8"/>
  <c r="C11" i="8"/>
  <c r="C19" i="8"/>
  <c r="D8" i="8"/>
  <c r="D16" i="8"/>
  <c r="C6" i="8"/>
  <c r="C14" i="8"/>
  <c r="D3" i="8"/>
  <c r="D11" i="8"/>
  <c r="D19" i="8"/>
  <c r="H15" i="5" l="1"/>
  <c r="P15" i="5" s="1"/>
  <c r="D20" i="8"/>
  <c r="D22" i="8" s="1"/>
  <c r="B20" i="8"/>
  <c r="B22" i="8" s="1"/>
  <c r="C20" i="8"/>
</calcChain>
</file>

<file path=xl/sharedStrings.xml><?xml version="1.0" encoding="utf-8"?>
<sst xmlns="http://schemas.openxmlformats.org/spreadsheetml/2006/main" count="1524" uniqueCount="663">
  <si>
    <t xml:space="preserve">          </t>
  </si>
  <si>
    <t xml:space="preserve">                                   Capitol Site Development (Documentary Stamp)                     </t>
  </si>
  <si>
    <t xml:space="preserve">                                   Construction of Classrooms-CVSC Poblacion, Laak                  </t>
  </si>
  <si>
    <t xml:space="preserve">                                   Construction of PRC (documentary stamp)                          </t>
  </si>
  <si>
    <t xml:space="preserve">                                   Construction of Study Area at CVSC Campus-New Bataan             </t>
  </si>
  <si>
    <t xml:space="preserve">                                   Development of Liwanag Center, Brgy. Libasan, Nabunturan         </t>
  </si>
  <si>
    <t xml:space="preserve">                                   Rehabilitation of Agro Eco Tourism Center                        </t>
  </si>
  <si>
    <t xml:space="preserve">                                   Const. of Solar Dryer, Brgy. Mapaca, Compostela                  </t>
  </si>
  <si>
    <t xml:space="preserve">                                   Completion of Legislative Building (Documentary Stamp)           </t>
  </si>
  <si>
    <t xml:space="preserve">                                   Furniture and Fixtures (Documentary Stamp)                       </t>
  </si>
  <si>
    <t xml:space="preserve">                                   Purchase of Furniture and Fixtures for SP Office                 </t>
  </si>
  <si>
    <t xml:space="preserve">                                   Information and Communication Technology Equipment               </t>
  </si>
  <si>
    <t xml:space="preserve">                                   Repair/ Rehabilitation of Water System                           </t>
  </si>
  <si>
    <t xml:space="preserve">                                   Construction of Gymnasium, Brgy. Kidawa, Laak                    </t>
  </si>
  <si>
    <t xml:space="preserve">                                   Construction of Tribal Hall, Brgy. Camanlangan, New Bataan       </t>
  </si>
  <si>
    <t xml:space="preserve">                                   Construction of Tribal Hall, Brgy. Elizalde, Maco                </t>
  </si>
  <si>
    <t xml:space="preserve">                                   Construction of Tribal Hall, Brgy. New Panay, Maragusan          </t>
  </si>
  <si>
    <t xml:space="preserve">                                   Improvement of Gymnasium Brgy. Kahayag, New Bataan               </t>
  </si>
  <si>
    <t xml:space="preserve">                                   Conc. of Road from Prk 3 to Prk 6 Brgy. Mainit Nabunturan        </t>
  </si>
  <si>
    <t xml:space="preserve">                                   Concreting of Road Leading to Brgy. Hall, Brgy. Andap New Bataan </t>
  </si>
  <si>
    <t xml:space="preserve">                                   Const. of Drainage at Prk Kauswagan, Prk Bagong Lipunan          </t>
  </si>
  <si>
    <t xml:space="preserve">                                   Construction of Brgy. Stage Magnaga, Pantukan                    </t>
  </si>
  <si>
    <t xml:space="preserve">                                   Construction of Covered Court Andap, Laak                        </t>
  </si>
  <si>
    <t xml:space="preserve">                                   Construction of Covered Court Brgy.Bagong Silang, Laak           </t>
  </si>
  <si>
    <t xml:space="preserve">                                   Construction of Covered Court Brgy.Banbanon, Laak                </t>
  </si>
  <si>
    <t xml:space="preserve">                                   Construction of Covered Court Brgy.Kiokmay, Laak                 </t>
  </si>
  <si>
    <t xml:space="preserve">                                   Construction of Covered Court Cabuyoan, Mabini                   </t>
  </si>
  <si>
    <t xml:space="preserve">                                   Construction of Covered Court. New Bethlehem, Laak               </t>
  </si>
  <si>
    <t xml:space="preserve">                                   Electrification of Sitio Kilabot, Brgy Ngan, Compostela          </t>
  </si>
  <si>
    <t xml:space="preserve">                                   Improvement of Covered Court, Brgy. Fatima, New Bataan           </t>
  </si>
  <si>
    <t xml:space="preserve">                                   Renovation of Multi-Purpose Bldg. in Special Brgy. Libuton, Laak </t>
  </si>
  <si>
    <t xml:space="preserve">          Economic Services                                                                         </t>
  </si>
  <si>
    <t xml:space="preserve">                                   Multi-Parameter Water Quality Monitoring Equipment               </t>
  </si>
  <si>
    <t xml:space="preserve">                                   Completion of Motor Pool Building &amp; Repair Bay                   </t>
  </si>
  <si>
    <t xml:space="preserve">                                   Concreting of Road, Brgy. Araibo, Pantukan                       </t>
  </si>
  <si>
    <t xml:space="preserve">                                   Construction of Capitol Water System                             </t>
  </si>
  <si>
    <t xml:space="preserve">                                   1 Off-road carrier, dump body crawler type                       </t>
  </si>
  <si>
    <t xml:space="preserve">                                   14 Ten(10) Wheeler Dump Trucks                                   </t>
  </si>
  <si>
    <t xml:space="preserve">                                   2 Hydraulic Excavator, long arm, crawler type                    </t>
  </si>
  <si>
    <t xml:space="preserve">                                   2 Hydraulic Excavator, Wheel type                                </t>
  </si>
  <si>
    <t xml:space="preserve">                                   2 Motor Grader                                                   </t>
  </si>
  <si>
    <t xml:space="preserve">                                   2 Wheel Loader                                                   </t>
  </si>
  <si>
    <t xml:space="preserve">                                   4 Hydraulic Excavator, crawler type                              </t>
  </si>
  <si>
    <t xml:space="preserve">                                   Rehabilitation of roads/bridges - District I                     </t>
  </si>
  <si>
    <t xml:space="preserve">                                   Rehabilitation of roads/bridges - District II                    </t>
  </si>
  <si>
    <t xml:space="preserve">          Other Services                                                                            </t>
  </si>
  <si>
    <t xml:space="preserve">               Local Disaster Risk Reduction Management Fund                                        </t>
  </si>
  <si>
    <t xml:space="preserve">                                   Provision of Funds for the Purchase of Relocation Site           </t>
  </si>
  <si>
    <t xml:space="preserve">                                   Purchase of Relocation Site                                      </t>
  </si>
  <si>
    <t xml:space="preserve">                                   Const'n. of Slope Protection &amp; Drainage Canal @ CVPH-Laak        </t>
  </si>
  <si>
    <t xml:space="preserve">                                   Construction of Hanging Bridge-New Panay, Maragusan              </t>
  </si>
  <si>
    <t xml:space="preserve">                                   Slope Protection along Banlag - Casoon Road, Monkayo             </t>
  </si>
  <si>
    <t xml:space="preserve">                                   Construction of Garage and Storage Area for Rescue Vehicle       </t>
  </si>
  <si>
    <t xml:space="preserve">                                   Construction of Disaster Operations and Warning Center           </t>
  </si>
  <si>
    <t xml:space="preserve">                                   Construction of Evacuation Centers- Brgy. Bantacan, New Bataan   </t>
  </si>
  <si>
    <t xml:space="preserve">                                   Construction of Evacuation Centers- Brgy. Sta. Maria, Nabunturan </t>
  </si>
  <si>
    <t xml:space="preserve">                                   Rehabilitation of Earth Canal at Magading Ogao Manat Section     </t>
  </si>
  <si>
    <t xml:space="preserve">                                   Purchase of Science-Based Equipment for DRRM, CCA, etc.          </t>
  </si>
  <si>
    <t xml:space="preserve">                                   Acquisition of Science-based tools for DRRM and CCA              </t>
  </si>
  <si>
    <t xml:space="preserve">                                   Purchase and install Flood and Landslide Early Warning Devices   </t>
  </si>
  <si>
    <t xml:space="preserve">                                   Purchase of Flood and Landslide Early Warning Devices            </t>
  </si>
  <si>
    <t xml:space="preserve">                                   Purchase of one(1) unit Disaster First Response Vehicle          </t>
  </si>
  <si>
    <t xml:space="preserve">                                   Establishment of a Knowledge Management Center                   </t>
  </si>
  <si>
    <t xml:space="preserve">Republic of the Philippines   </t>
  </si>
  <si>
    <t xml:space="preserve">Province of Compostela Valley   </t>
  </si>
  <si>
    <t>Capitol Building, Cabidianan, Nabunturan, Compostela Valley</t>
  </si>
  <si>
    <t xml:space="preserve">STATEMENT OF ALLOTMENTS, OBLIGATIONS AND BALANCES   </t>
  </si>
  <si>
    <t xml:space="preserve">(Continuing Allotment)   </t>
  </si>
  <si>
    <t>GENERAL FUND</t>
  </si>
  <si>
    <t>LOCAL DISASTER RISK REDUCTION MANAGEMENT FUND</t>
  </si>
  <si>
    <t>P</t>
  </si>
  <si>
    <t>FUNCTION/PROGRAM/PROJECT</t>
  </si>
  <si>
    <t>CODE</t>
  </si>
  <si>
    <t>ALLOTMENTS</t>
  </si>
  <si>
    <t>OBLIGATIONS</t>
  </si>
  <si>
    <t>BALANCES OF</t>
  </si>
  <si>
    <t>REMARKS</t>
  </si>
  <si>
    <t>AB</t>
  </si>
  <si>
    <t>SB</t>
  </si>
  <si>
    <t>Land</t>
  </si>
  <si>
    <t>Other Land Improvements</t>
  </si>
  <si>
    <t>Buildings</t>
  </si>
  <si>
    <t>Road Networks</t>
  </si>
  <si>
    <t>Other Structures</t>
  </si>
  <si>
    <t>Information and Communication Technology Equipment</t>
  </si>
  <si>
    <t xml:space="preserve">                                   Construction of Disaster Resilient Post Harvest Facilities      </t>
  </si>
  <si>
    <t>Agricultural and Forestry Equipment</t>
  </si>
  <si>
    <t>Disaster Response and Rescue Equipment</t>
  </si>
  <si>
    <t>Technical and Scientific Equipment</t>
  </si>
  <si>
    <t>Motor Vehicles</t>
  </si>
  <si>
    <t>Furniture and Fixtures</t>
  </si>
  <si>
    <t xml:space="preserve">                                   Construction of Evacuation Center @ Centennial Homes, Brgy. Pob, Compostela</t>
  </si>
  <si>
    <t xml:space="preserve">                                   Construction of Evacuation Centers- Sitio Anagasi, Casoon, Monkayo</t>
  </si>
  <si>
    <t xml:space="preserve">                                   Provision of funds for the establishment  of Command Center for 24/7 Operations</t>
  </si>
  <si>
    <t>AB 2017</t>
  </si>
  <si>
    <t>AB 2015</t>
  </si>
  <si>
    <t>SB#3 2018</t>
  </si>
  <si>
    <t>AB 2018</t>
  </si>
  <si>
    <t>AB 2016</t>
  </si>
  <si>
    <t xml:space="preserve">                                   Construction of Waste Processing Facility Building and Office (Phase 3)</t>
  </si>
  <si>
    <t>Provision for Climate Change Adaptation and Mitigation projects</t>
  </si>
  <si>
    <t>Change of Nomenclature</t>
  </si>
  <si>
    <t>SB#1 2017</t>
  </si>
  <si>
    <t>Declared Savings for SB#1 2019</t>
  </si>
  <si>
    <t xml:space="preserve">   </t>
  </si>
  <si>
    <t>equipment</t>
  </si>
  <si>
    <t xml:space="preserve">                                   Procurement of additional hazard-specific rescue tools including WASH tools and </t>
  </si>
  <si>
    <t xml:space="preserve">                                   Purch. of Science Based Eqt. for DRRM &amp; CCA, WASH &amp; hazard specific rescue </t>
  </si>
  <si>
    <t>tools and  equipment etc.</t>
  </si>
  <si>
    <t xml:space="preserve">Procure additional hazard specific rescue tools and equipment including WASH </t>
  </si>
  <si>
    <t>tools and equipment</t>
  </si>
  <si>
    <t>As of  February 28, 2019</t>
  </si>
  <si>
    <t>Decalared as Completed</t>
  </si>
  <si>
    <t>TOTAL</t>
  </si>
  <si>
    <t xml:space="preserve">    Construction of Provincial Rehabilitation Center</t>
  </si>
  <si>
    <t xml:space="preserve">   Capitol Site Development</t>
  </si>
  <si>
    <t>TOTAL LOAN ACCOUNTS</t>
  </si>
  <si>
    <t>Other Property, Plant and Equipment</t>
  </si>
  <si>
    <t>Water Supply  Systems</t>
  </si>
  <si>
    <t xml:space="preserve">               </t>
  </si>
  <si>
    <t xml:space="preserve">                   </t>
  </si>
  <si>
    <t xml:space="preserve">                                                   </t>
  </si>
  <si>
    <t xml:space="preserve">                                   Construction of Septic Vault                                     </t>
  </si>
  <si>
    <t xml:space="preserve">          Health &amp; Hospital Services                                                                         </t>
  </si>
  <si>
    <t xml:space="preserve">                                   Medical Equipment                                                </t>
  </si>
  <si>
    <t>4421-3</t>
  </si>
  <si>
    <t>Other  Machinery and Equipment</t>
  </si>
  <si>
    <t xml:space="preserve">                                   Completion of Brgy. Tribal Council Bldg. of Brgy. Cabuyoan, Mabini</t>
  </si>
  <si>
    <t xml:space="preserve">                                   Construction of Footbridge, Log Cabin, Prk 3, Brgy. Bukal Nabunturan</t>
  </si>
  <si>
    <t xml:space="preserve">                                   Construction of Hanging Bridge at Purok 4, Brgy. Upper Ulip, Monkayo</t>
  </si>
  <si>
    <t>Loan Accounts</t>
  </si>
  <si>
    <t>savings for sb#1</t>
  </si>
  <si>
    <t>1) Provincial Governor's Office- Loans</t>
  </si>
  <si>
    <t>2) Sangguniang Panlalawigan Office- Loans</t>
  </si>
  <si>
    <t>3) Provincial Governor's Office</t>
  </si>
  <si>
    <t xml:space="preserve">13) Local Disaster Risk Reduction Management Fund                                        </t>
  </si>
  <si>
    <t>SB#3 2017</t>
  </si>
  <si>
    <t>SB#2 2018</t>
  </si>
  <si>
    <t>SB#2 2017</t>
  </si>
  <si>
    <t>SB#1 2018</t>
  </si>
  <si>
    <t>SB#4 2015</t>
  </si>
  <si>
    <t>Building</t>
  </si>
  <si>
    <t xml:space="preserve">Road Networks </t>
  </si>
  <si>
    <t>Construction of Heavy Equipment</t>
  </si>
  <si>
    <t xml:space="preserve">          and Purok Manga Chapoy Brgy. Mapawa, Maragusan</t>
  </si>
  <si>
    <t>Furnitures &amp; Fixtures</t>
  </si>
  <si>
    <t>Provincial Budget Officer</t>
  </si>
  <si>
    <t>NOVAH MAY D. DELIMA</t>
  </si>
  <si>
    <t xml:space="preserve"> </t>
  </si>
  <si>
    <t>Noted by:</t>
  </si>
  <si>
    <t xml:space="preserve">                            </t>
  </si>
  <si>
    <t xml:space="preserve">                                   Provision for Climate Change Adaptation and Mitigation projects</t>
  </si>
  <si>
    <t xml:space="preserve">                                      Construction of Waste Processing Facility Building and Office (Phase 3)</t>
  </si>
  <si>
    <t xml:space="preserve">                                   Procurement  of additional hazard-specific rescue tools and equipment including </t>
  </si>
  <si>
    <t>WASH tools and equipment</t>
  </si>
  <si>
    <t>tools and equipment etc.</t>
  </si>
  <si>
    <t>AB 2018 Completed Dec 28, 2018</t>
  </si>
  <si>
    <t>AB 2018 Completed Dec 30, 2018</t>
  </si>
  <si>
    <t>SB#1 2018 Completed 11/29/18</t>
  </si>
  <si>
    <t>SB#1 2018 Completed 06/29/18</t>
  </si>
  <si>
    <t xml:space="preserve">SB#1 2018 Completed 07/31/18 </t>
  </si>
  <si>
    <t>SB#1 2018 Completed 09/28/18</t>
  </si>
  <si>
    <t xml:space="preserve">SB#1 2018 Completed 06/29/18 </t>
  </si>
  <si>
    <t xml:space="preserve">SB#1 2018 Completed 05/31/18 </t>
  </si>
  <si>
    <t xml:space="preserve">SB#2 2017 Completed 08/31/18 </t>
  </si>
  <si>
    <t xml:space="preserve">SB#2 2017 Completed 12/28/18 </t>
  </si>
  <si>
    <t xml:space="preserve">SB#2 2017 Completed 07/31/18 </t>
  </si>
  <si>
    <t>Purchase, Construction and Improvement of Government Facilities</t>
  </si>
  <si>
    <t xml:space="preserve"> -General Public Services </t>
  </si>
  <si>
    <t xml:space="preserve">                                   Conc. of Road from P4 to Crossing Going To Prk1, Baybay,Brgy. Tambongon, Pantukan</t>
  </si>
  <si>
    <t xml:space="preserve">                                   Conc./Up. of Road @ Kalantas St, Brgy. Pob to Prk Aguinaldo, Brgy Langgam, Maco</t>
  </si>
  <si>
    <t xml:space="preserve">                                   Rehabilitation of Water System from Purok 1-6, Barangay Ampawid, Laak</t>
  </si>
  <si>
    <t>AB 2018 Declared Savings 03/12/19 for SB#1 2019</t>
  </si>
  <si>
    <t>AB 2016 Decalared as Completed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</si>
  <si>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</si>
  <si>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</si>
  <si>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</si>
  <si>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</si>
  <si>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</si>
  <si>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</si>
  <si>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</si>
  <si>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</si>
  <si>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</si>
  <si>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</si>
  <si>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As of  APRIL 30, 2019</t>
  </si>
  <si>
    <t>Provincial Budget Office</t>
  </si>
  <si>
    <t>SB#2 2017 Completed 02/28/19</t>
  </si>
  <si>
    <t>CY 2017</t>
  </si>
  <si>
    <t>CY 2018</t>
  </si>
  <si>
    <t>CY 2016</t>
  </si>
  <si>
    <t>CY 2015</t>
  </si>
  <si>
    <t xml:space="preserve">          General Public Services                                                                            </t>
  </si>
  <si>
    <t xml:space="preserve">1) Provincial Economic Enterprise Mgt Office                                   </t>
  </si>
  <si>
    <t xml:space="preserve">2) Local Disaster Risk Reduction Management Fund                                        </t>
  </si>
  <si>
    <t>GRAND TOTAL</t>
  </si>
  <si>
    <t>SB#1 2018 Completed 12/13/18</t>
  </si>
  <si>
    <t xml:space="preserve">                                   Hospital and Health Centers</t>
  </si>
  <si>
    <t>1) Provincial Governor's Office</t>
  </si>
  <si>
    <t>Hospital and Health Center</t>
  </si>
  <si>
    <t>Other Machinery and Equipment</t>
  </si>
  <si>
    <t xml:space="preserve">                                   Completion of Legislative Building </t>
  </si>
  <si>
    <t>SB#1 2018 Completed 5/31/19</t>
  </si>
  <si>
    <t>SB#2 2018 Completed 06/12/19</t>
  </si>
  <si>
    <t>AB 2018 Completed Apr 3, 2019</t>
  </si>
  <si>
    <t>AB 2018 Completed Apr 15, 2019</t>
  </si>
  <si>
    <t>declared savings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</si>
  <si>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</si>
  <si>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</si>
  <si>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</si>
  <si>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</si>
  <si>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</si>
  <si>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</si>
  <si>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</si>
  <si>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</si>
  <si>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</si>
  <si>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AB 2018 Completed 7/5/19</t>
  </si>
  <si>
    <t>AB 2018 Completed July 5, 2019</t>
  </si>
  <si>
    <t>completed new data</t>
  </si>
  <si>
    <t>As of  August 31, 2019</t>
  </si>
  <si>
    <t>AB 2018 Completed 6/28/19</t>
  </si>
  <si>
    <t>SB#3 2017 Completed 7/26/19</t>
  </si>
  <si>
    <t>SB#1 2018 Completed 7/26/19</t>
  </si>
  <si>
    <t>Reymond Val J. Naquila</t>
  </si>
  <si>
    <t xml:space="preserve">      Budget Officer II</t>
  </si>
  <si>
    <t>Prepared by:</t>
  </si>
  <si>
    <t>Budget Officer III</t>
  </si>
  <si>
    <t>SB#1 2018 Completed 08/01/19</t>
  </si>
  <si>
    <t>SB#3 2017 Completed 08/19/19</t>
  </si>
  <si>
    <t xml:space="preserve">                                   Construction of Multi-Purpose Hall Casoon, Monkayo</t>
  </si>
  <si>
    <t>SB#1 2018 Completed 09/11/19</t>
  </si>
  <si>
    <t>SB#2 2018 Completed 07/20/19</t>
  </si>
  <si>
    <t>SB#3 2017 Completed 11/7/19</t>
  </si>
  <si>
    <t xml:space="preserve">                                   Construction of Health Center, Brgy. Panangan, Maco</t>
  </si>
  <si>
    <t xml:space="preserve">                                   Various Equipment               </t>
  </si>
  <si>
    <t xml:space="preserve">                                   Construction of Drainage System                            </t>
  </si>
  <si>
    <t xml:space="preserve">                                   Construction of Perimeter Fence                     </t>
  </si>
  <si>
    <t xml:space="preserve">                                   Construction of Road Network                        </t>
  </si>
  <si>
    <t xml:space="preserve">                                   Construction of Powerhouse Building with Fence     </t>
  </si>
  <si>
    <t xml:space="preserve">                                   Water System                                  </t>
  </si>
  <si>
    <t xml:space="preserve">                                   Embankment of 7,000 cu.m.  </t>
  </si>
  <si>
    <t xml:space="preserve">Province of Davao De Oro   </t>
  </si>
  <si>
    <t>EVA JEAN S. LICAYAN, MPA, ENP, REB</t>
  </si>
  <si>
    <t>Water Supply Systems</t>
  </si>
  <si>
    <t>Construction of Potable Water System, Brgy. Panibasan, Maco (Phase II)</t>
  </si>
  <si>
    <t xml:space="preserve">                                                                    </t>
  </si>
  <si>
    <t>Improvement of Water System, Coronabe, Maragusan (Phase II)</t>
  </si>
  <si>
    <t xml:space="preserve">Construction of Water System, Brgy. Taglawig, Maco (Additional Appropriation) </t>
  </si>
  <si>
    <t>SB#3 2019</t>
  </si>
  <si>
    <t>addition</t>
  </si>
  <si>
    <t>SB#1 2019</t>
  </si>
  <si>
    <t>AB 2019</t>
  </si>
  <si>
    <t xml:space="preserve">Repainting of Provincial Capitol                                 </t>
  </si>
  <si>
    <t>Improvement of Capitol Building</t>
  </si>
  <si>
    <t xml:space="preserve">Construction of Multi-purpose Building, Brgy. Sta. Emilia, Laak, Comval                                             </t>
  </si>
  <si>
    <t xml:space="preserve">Construction of Multi-purpose Building With Stage, Brgy. Datu Davao, Laak, Comval    </t>
  </si>
  <si>
    <t xml:space="preserve">Purchase of Five (5) Units Service Vehicle 4x4                   </t>
  </si>
  <si>
    <t xml:space="preserve">Motor Vehicles                                                   </t>
  </si>
  <si>
    <t>Office Equipment</t>
  </si>
  <si>
    <t xml:space="preserve">Purchase of DSLR Camera with Complete Accessories                </t>
  </si>
  <si>
    <t xml:space="preserve">Purchase of Two Units Camera Lens                                </t>
  </si>
  <si>
    <t>Purchase of Desktop Computers Core I7 with Complete Accessories</t>
  </si>
  <si>
    <t xml:space="preserve">Purchase of Laptop                                               </t>
  </si>
  <si>
    <t xml:space="preserve">                                                                         </t>
  </si>
  <si>
    <t xml:space="preserve">Purchase of Lot for the Expansion of Compostela Valley Provincial Hospitals                 </t>
  </si>
  <si>
    <t xml:space="preserve">Land Development of Kalayaan Center, Brgy. Libasan, Nabunturan  </t>
  </si>
  <si>
    <t xml:space="preserve">Concreting of Road Going to Valderama ES &amp; NHS, Brgy. Ngan, Compostela                 </t>
  </si>
  <si>
    <t xml:space="preserve">Concreting of Road with Drainage Component, Brgy. Cabidianan, Nabunturan                 </t>
  </si>
  <si>
    <t xml:space="preserve">Construction of Potable Water System, Brgy. Kinuban, Maco                      </t>
  </si>
  <si>
    <t xml:space="preserve">Construction of Potable Water System, Brgy. Kinuban, Maco (Phase II)                      </t>
  </si>
  <si>
    <t xml:space="preserve">Construction of Potable Water System, Brgy. Panibasan, Maco (Phase I)                      </t>
  </si>
  <si>
    <t xml:space="preserve">Construction of Potable Water System, Brgy. Tagnocon, Nabunturan                     </t>
  </si>
  <si>
    <t xml:space="preserve">Construction of Water System, Brgy. Del Pilar, Mabini                  </t>
  </si>
  <si>
    <t xml:space="preserve">Construction of Water System, Brgy. Taglawig, Maco                   </t>
  </si>
  <si>
    <t xml:space="preserve">Improvement of Water System-Brgy. Babag, Monkayo                 </t>
  </si>
  <si>
    <t xml:space="preserve">Rehabilitation of Level II Water System, Brgy. Belmonte, Laak                  </t>
  </si>
  <si>
    <t xml:space="preserve">Completion of Covered Court - Kinuban, Maco                      </t>
  </si>
  <si>
    <t xml:space="preserve">Construction of Covered Court - Kidawa, Laak                     </t>
  </si>
  <si>
    <t xml:space="preserve">Construction of Covered Court - Tagugpo National High School                </t>
  </si>
  <si>
    <t xml:space="preserve">Construction of Gym Brgy. Tagdangua, Pantukan                    </t>
  </si>
  <si>
    <t xml:space="preserve">Construction of Gym, Brgy. Teresa, Maco                          </t>
  </si>
  <si>
    <t xml:space="preserve">Construction of Gym, Mangayon NHS, Brgy. Mangayon, Compostela               </t>
  </si>
  <si>
    <t xml:space="preserve">Construction of Gym, Purok 2, Poblacion, Compostela                        </t>
  </si>
  <si>
    <t xml:space="preserve">Completion of Municipal Tribal Hall, Pantukan                    </t>
  </si>
  <si>
    <t xml:space="preserve">Construction of Public Terminal, Brgy. Camanlangan, New Bataan                                </t>
  </si>
  <si>
    <t xml:space="preserve">                                                        </t>
  </si>
  <si>
    <t xml:space="preserve">                                                                                            </t>
  </si>
  <si>
    <t xml:space="preserve">Construction of Multi-Purpose Building (Bahay Pag-asa)                    </t>
  </si>
  <si>
    <t>Hospitals and Health Centers</t>
  </si>
  <si>
    <t xml:space="preserve">Construction Of Health Center-Mapaang, Maco                      </t>
  </si>
  <si>
    <t xml:space="preserve">                                                                                    </t>
  </si>
  <si>
    <t xml:space="preserve">Completion of Multi-Purpose Bldg. Brgy. Kingking, Pantukan NHS                </t>
  </si>
  <si>
    <t xml:space="preserve">Construction of Brgy. Stage, Brgy. Nueva Visayas, Mawab                </t>
  </si>
  <si>
    <t xml:space="preserve">Construction of Multi-Purpose Building-Provincewide                                    </t>
  </si>
  <si>
    <t xml:space="preserve">Completion of Multi-Purpose Bldg. Brgy. Kingking CES, Pantukan                </t>
  </si>
  <si>
    <t xml:space="preserve">Basak, Langgawisan, Maragusan                                                                       </t>
  </si>
  <si>
    <t xml:space="preserve">Brgy. Inakayan, Laak                                             </t>
  </si>
  <si>
    <t xml:space="preserve">        Construction/Provision of Post Harvest Facilities:</t>
  </si>
  <si>
    <t xml:space="preserve">Brgy. Kaligutan, Laak                                            </t>
  </si>
  <si>
    <t xml:space="preserve">Brgy. Kilagding, Laak                                            </t>
  </si>
  <si>
    <t xml:space="preserve">Brgy. Sabud, Laak                                                </t>
  </si>
  <si>
    <t xml:space="preserve">GK Bansilaw, Purok 2b, Poblacion, Monkayo                        </t>
  </si>
  <si>
    <t xml:space="preserve">GK Verjaya, Purok 13, Poblacion, Monkayo                         </t>
  </si>
  <si>
    <t>Laak Comval Muslim-Christian Dev't Coop. (LCMDC) Sitio New Sibole</t>
  </si>
  <si>
    <t>Langgawisan Bahi Tribal Association (LABATA), Langgawisan, Maragusan</t>
  </si>
  <si>
    <t xml:space="preserve">Purok 1-a, Brgy. Teresa, Maco                                    </t>
  </si>
  <si>
    <t xml:space="preserve">Purok 2 Maparat, Compostela                                      </t>
  </si>
  <si>
    <t xml:space="preserve">Purok 5, Special Brgy. Mag-agbay Laak                            </t>
  </si>
  <si>
    <t xml:space="preserve">Purok 7, Brgy. New Leyte, Maco                                   </t>
  </si>
  <si>
    <t xml:space="preserve">Purok Angelo, Brgy. Tupaz, Maragusan                             </t>
  </si>
  <si>
    <t xml:space="preserve">Purok Macopa, Brgy. Langgawisan, Maragusan                       </t>
  </si>
  <si>
    <t xml:space="preserve">Purok Syunogan &amp; Basak, Brgy. Langgawisan, Maragusan             </t>
  </si>
  <si>
    <t>4421-1</t>
  </si>
  <si>
    <t>Other Infrastructure Assets</t>
  </si>
  <si>
    <t xml:space="preserve">Construction of Septic Vault       </t>
  </si>
  <si>
    <t xml:space="preserve">Duplicator Machine, Heavy Duty 1 Unit         </t>
  </si>
  <si>
    <t xml:space="preserve">Photocopier, Heavy Duty 1 Unit                </t>
  </si>
  <si>
    <t>Information And Communication Technology Equipment</t>
  </si>
  <si>
    <t>Computer Printer-Laserjet (10 units @ 15,000)</t>
  </si>
  <si>
    <t>Desktop Computer (3 units @35,000)</t>
  </si>
  <si>
    <t>4421-2</t>
  </si>
  <si>
    <t>Medical Equipment</t>
  </si>
  <si>
    <t xml:space="preserve">Serufuge Machine 1 Unit                      </t>
  </si>
  <si>
    <t>20 units Mechanical Bed with Mattress with 2 cranks, with Side Rails and Wheels</t>
  </si>
  <si>
    <t>7 units Computer Set with Complete Accessories and Printer</t>
  </si>
  <si>
    <t>7 Units of Aircondition 1.5HP (Semi Private Room)</t>
  </si>
  <si>
    <t>Rehabilitation of Provincial Roads/ Bridges - District 1</t>
  </si>
  <si>
    <t>Rehabilitation of Provincial Roads/ Bridges - District 2</t>
  </si>
  <si>
    <t xml:space="preserve">Rehabilitation of Farm-To-Market Roads (FMRS) Provincewide                   </t>
  </si>
  <si>
    <t xml:space="preserve">Canal Lining at Regional Evacuation Center, Capitol Compound                     </t>
  </si>
  <si>
    <t xml:space="preserve">AB 2019 </t>
  </si>
  <si>
    <t xml:space="preserve">Desilting and Bank Protection of Tagbalaobao River, Mabini                     </t>
  </si>
  <si>
    <t xml:space="preserve">Desilting of Batutu River, Banagbanag Section, Montevista                    </t>
  </si>
  <si>
    <t xml:space="preserve">Desilting of P-10 Cabinuangan Langwan River                      </t>
  </si>
  <si>
    <t xml:space="preserve">Desilting of Upper Ulip River, Union, Monkayo                    </t>
  </si>
  <si>
    <t xml:space="preserve">Construction of Davao De Oro Andam Action Center Satellite Hub                 </t>
  </si>
  <si>
    <t xml:space="preserve">Perimeter Embankment at CVPH Pantukan                            </t>
  </si>
  <si>
    <t xml:space="preserve">Repair &amp; Improvement of Box Culvert-Tagugpo, Pantukan                     </t>
  </si>
  <si>
    <t xml:space="preserve">Riprapping of RCDG Bridge Approach, Pangutosan, Nabunturan                  </t>
  </si>
  <si>
    <t xml:space="preserve">Slope Protection Along Brgy. Pangutusan - Gabi Road, Nabunturan                  </t>
  </si>
  <si>
    <t xml:space="preserve">Slope Protection, Brgy. Kidawa, Laak (NHA Section)                       </t>
  </si>
  <si>
    <t>Purchase of IT Equipment, Laptops, Desktop Computers and Printers</t>
  </si>
  <si>
    <t xml:space="preserve">Establish &amp; Update Risk Profile @ The Municipal &amp; Brgy. Levels               </t>
  </si>
  <si>
    <t xml:space="preserve">Purchase of First Aid Kits, Vehicle Fire Extinguishers, Supplies </t>
  </si>
  <si>
    <t xml:space="preserve">Purchase of Hazard Specific Rescue Tools &amp; Equipment                      </t>
  </si>
  <si>
    <t xml:space="preserve">Purchase of 2 Units 4x4 Vehicles                                 </t>
  </si>
  <si>
    <t xml:space="preserve">Installation Of Flood &amp; Landslide Early Warning Devices/signage                  </t>
  </si>
  <si>
    <t xml:space="preserve">                                                               </t>
  </si>
  <si>
    <t>Construction of Drainage System</t>
  </si>
  <si>
    <t>Construction of Perimeter Fence</t>
  </si>
  <si>
    <t xml:space="preserve">                                                           </t>
  </si>
  <si>
    <t>Construction of Road Network</t>
  </si>
  <si>
    <t xml:space="preserve">                                        </t>
  </si>
  <si>
    <t>Construction of Powerhouse Building with Fence</t>
  </si>
  <si>
    <t>Capitol Site Development (Documentary Stamp)</t>
  </si>
  <si>
    <t xml:space="preserve">                                     </t>
  </si>
  <si>
    <t>Embankment of 7,000 cu.m.</t>
  </si>
  <si>
    <t>Water System</t>
  </si>
  <si>
    <t xml:space="preserve">                                              </t>
  </si>
  <si>
    <t xml:space="preserve">                                                 </t>
  </si>
  <si>
    <t>Construction of 2 units of Detention Cell Building</t>
  </si>
  <si>
    <t xml:space="preserve">                                                                                 </t>
  </si>
  <si>
    <t>Drainage System</t>
  </si>
  <si>
    <t>Perimeter Fence</t>
  </si>
  <si>
    <t xml:space="preserve">                                                                   </t>
  </si>
  <si>
    <t>Construction of Guard's Tower</t>
  </si>
  <si>
    <t xml:space="preserve">                                                             </t>
  </si>
  <si>
    <t xml:space="preserve">                                         </t>
  </si>
  <si>
    <t>Construction of Powerhouse and Electrical Installations</t>
  </si>
  <si>
    <t>Construction of Infirmary Building</t>
  </si>
  <si>
    <t>Construction of Conjugal Building</t>
  </si>
  <si>
    <t>Construction of PRC (Documentary Stamp)</t>
  </si>
  <si>
    <t xml:space="preserve">                                   </t>
  </si>
  <si>
    <t xml:space="preserve">Completion of Legislative Building </t>
  </si>
  <si>
    <t xml:space="preserve">                                             </t>
  </si>
  <si>
    <t xml:space="preserve">Completion of Legislative Building (Documentary Stamp) </t>
  </si>
  <si>
    <t xml:space="preserve">                                                    </t>
  </si>
  <si>
    <t>Purchase of Furniture and Fixtures for SP Office</t>
  </si>
  <si>
    <t xml:space="preserve">                                                          </t>
  </si>
  <si>
    <t>Furniture and Fixtures (Documentary Stamp)</t>
  </si>
  <si>
    <t>Construction of Provincial Rehabilitation Center</t>
  </si>
  <si>
    <t xml:space="preserve">                                                     </t>
  </si>
  <si>
    <t>Construction of Classrooms-CVSC Poblacion, Laak</t>
  </si>
  <si>
    <t xml:space="preserve">                                                                      </t>
  </si>
  <si>
    <t xml:space="preserve">                                                </t>
  </si>
  <si>
    <t>Construction of Study Area at CVSC Campus-New Bataan</t>
  </si>
  <si>
    <t xml:space="preserve">                                            </t>
  </si>
  <si>
    <t>Development of Liwanag Center, Brgy. Libasan, Nabunturan</t>
  </si>
  <si>
    <t xml:space="preserve">Rehabilitation of Agro Eco Tourism Center </t>
  </si>
  <si>
    <t>Construction of Health Center, Brgy. Panangan, Maco</t>
  </si>
  <si>
    <t xml:space="preserve">                                                                                        </t>
  </si>
  <si>
    <t>Construction of Solar Dryer, Brgy. Mapaca, Compostela</t>
  </si>
  <si>
    <t xml:space="preserve">Information and Communication Technology Equipment </t>
  </si>
  <si>
    <t xml:space="preserve">Various Equipment </t>
  </si>
  <si>
    <t>Purchase, Construction and Improvement of Government Facilities -General Public Services</t>
  </si>
  <si>
    <t>Concreting of Road from P4 to Crossing Going To Prk1, Baybay, Brgy. Tambongon, Pantukan</t>
  </si>
  <si>
    <t>Concreting/Uprading of Road at Kalantas St., Brgy. Pob to Prk Aguinaldo, Brgy. Langgam, Maco</t>
  </si>
  <si>
    <t xml:space="preserve">                                                              </t>
  </si>
  <si>
    <t>Repair/ Rehabilitation of Water System</t>
  </si>
  <si>
    <t xml:space="preserve">Improvement of Water System-Coronobe, Maragusan                  </t>
  </si>
  <si>
    <t xml:space="preserve">Rehabilitation of Water System                                   </t>
  </si>
  <si>
    <t xml:space="preserve">                                                       </t>
  </si>
  <si>
    <t>Construction of Gymnasium, Brgy. Kidawa, Laak</t>
  </si>
  <si>
    <t xml:space="preserve">                                          </t>
  </si>
  <si>
    <t>Construction of Tribal Hall, Brgy. Camanlangan, New Bataan</t>
  </si>
  <si>
    <t>Construction of Tribal Hall, Brgy. Elizalde, Maco</t>
  </si>
  <si>
    <t>Construction of Tribal Hall, Brgy. New Panay, Maragusan</t>
  </si>
  <si>
    <t xml:space="preserve">                                                  </t>
  </si>
  <si>
    <t>Improvement of Gymnasium Brgy. Kahayag, New Bataan</t>
  </si>
  <si>
    <t xml:space="preserve">Construction of Multipurpose Building (Tribal Hall), Camanlangan, New Bataan (Add'l Appropriation)                   </t>
  </si>
  <si>
    <t xml:space="preserve">Improvement of Multi-Purpose Building (Women Crisis Center), Brgy. Cabidianan, Nabunturan                    </t>
  </si>
  <si>
    <t>Completion of Brgy. Tribal Council Building of Brgy. Cabuyoan, Mabini</t>
  </si>
  <si>
    <t xml:space="preserve">                                           </t>
  </si>
  <si>
    <t>Concreting of Road from Prk 3 to Prk 6 Brgy. Mainit Nabunturan</t>
  </si>
  <si>
    <t xml:space="preserve">                                    </t>
  </si>
  <si>
    <t>Concreting of Road Leading to Brgy. Hall, Brgy. Andap New Bataan</t>
  </si>
  <si>
    <t>Construction of Protection Dike and Desilting of Liboton River at Purok 2A of Brgy. Salvacion, Monkayo</t>
  </si>
  <si>
    <t>Construction of Brgy. Stage Magnaga, Pantukan</t>
  </si>
  <si>
    <t>Construction of Covered Court Andap, Laak</t>
  </si>
  <si>
    <t xml:space="preserve">                                                      </t>
  </si>
  <si>
    <t>Construction of Covered Court Cabuyoan, Mabini</t>
  </si>
  <si>
    <t>Construction of Footbridge, Log Cabin, Prk 3, Brgy. Bukal Nabunturan</t>
  </si>
  <si>
    <t>Construction of Hanging Bridge at Purok 4, Brgy. Upper Ulip, Monkayo</t>
  </si>
  <si>
    <t>Electrification of Sitio Kilabot, Brgy Ngan, Compostela</t>
  </si>
  <si>
    <t xml:space="preserve">Improvement of Covered Court, Brgy. Fatima, New Bataan </t>
  </si>
  <si>
    <t>Rehabilitation of Water System from Purok 1-6, Barangay Ampawid, Laak</t>
  </si>
  <si>
    <t>Renovation of Multi-Purpose Building in Special Brgy. Libuton, Laak</t>
  </si>
  <si>
    <t>Construction of Multi-Purpose Hall Casoon, Monkayo</t>
  </si>
  <si>
    <t>Construction of Covered Court Brgy. Bagong Silang, Laak</t>
  </si>
  <si>
    <t>Construction of Covered Court Brgy. Banbanon, Laak</t>
  </si>
  <si>
    <t>Construction of Covered Court Brgy. Kiokmay, Laak</t>
  </si>
  <si>
    <t xml:space="preserve">Construction of Brgy. Stage, Brgy. Kao, Nabunturan                         </t>
  </si>
  <si>
    <t xml:space="preserve">Construction of Covered Court New Bethlehem, Laak </t>
  </si>
  <si>
    <t xml:space="preserve">                                                                        </t>
  </si>
  <si>
    <t>Construction of Septic Vault</t>
  </si>
  <si>
    <t>Hospital and Health Centers</t>
  </si>
  <si>
    <t xml:space="preserve">                                                                                   </t>
  </si>
  <si>
    <t>Multi-Parameter Water Quality Monitoring Equipment</t>
  </si>
  <si>
    <t>Completion of Motor Pool Building &amp; Repair Bay</t>
  </si>
  <si>
    <t>Concreting of Road, Brgy. Araibo, Pantukan</t>
  </si>
  <si>
    <t xml:space="preserve">                                                                </t>
  </si>
  <si>
    <t>Construction of Capitol Water System</t>
  </si>
  <si>
    <t>14 Ten(10) Wheeler Dump Trucks</t>
  </si>
  <si>
    <t>2 Hydraulic Excavator, Wheel type</t>
  </si>
  <si>
    <t xml:space="preserve">                                                                                      </t>
  </si>
  <si>
    <t>2 Motor Grader</t>
  </si>
  <si>
    <t>2 Wheel Loader</t>
  </si>
  <si>
    <t xml:space="preserve">                                                                 </t>
  </si>
  <si>
    <t>Provision of Funds for the Purchase of Relocation Site</t>
  </si>
  <si>
    <t>Construction of Slope Protection &amp; Drainage Canal at CVPH-Laak</t>
  </si>
  <si>
    <t>Construction of Hanging Bridge-New Panay, Maragusan</t>
  </si>
  <si>
    <t>Slope Protection along Banlag - Casoon Road, Monkayo</t>
  </si>
  <si>
    <t xml:space="preserve">Construction of Water System at Evacuation Center, Capitol Compound, Cabidianan, Nabunturan                     </t>
  </si>
  <si>
    <t xml:space="preserve">                                      </t>
  </si>
  <si>
    <t>Construction of Gender Responsive Evacuation Center - Brgy. Candiis, Laak, Compostela Valley</t>
  </si>
  <si>
    <t>AB 2016 Change of Nomenclature</t>
  </si>
  <si>
    <t xml:space="preserve">Provision for Climate Change Adaptation and Mitigation Projects- </t>
  </si>
  <si>
    <t xml:space="preserve">       Construction of Waste Processing Facility Building and Office (Phase 3)</t>
  </si>
  <si>
    <t xml:space="preserve">Construction of Gender Responsive Evacuation Center - Brgy. Concepcion, Laak, Compostela Valley                   </t>
  </si>
  <si>
    <t>Purchase of Science-Based Equipment for DRRM, CCA, etc.</t>
  </si>
  <si>
    <t xml:space="preserve">Climate Change Adaptation &amp; Mitigation For Food Security - Rice Production Support Program                 </t>
  </si>
  <si>
    <t xml:space="preserve">Climate Change Adaptation &amp; Mitigation For Food Security - Agri-infrastructure, Pre &amp; Post    </t>
  </si>
  <si>
    <t xml:space="preserve">     Harvest Facility Development Program                  </t>
  </si>
  <si>
    <t xml:space="preserve">Establishment &amp; Updating of Family Risk Profile @ The Municipal &amp; Brgy. Levels Purchase of </t>
  </si>
  <si>
    <t xml:space="preserve">     IT Equipment                 </t>
  </si>
  <si>
    <t>Acquisition of Science-based tools for DRRM and CCA</t>
  </si>
  <si>
    <t xml:space="preserve">Purchase of Flood and Landslide Early Warning Devices            </t>
  </si>
  <si>
    <t xml:space="preserve">Purchase of Science-Based Equipment for DRRM, CCA, etc.          </t>
  </si>
  <si>
    <t xml:space="preserve">Establishment of Early Warning &amp; Monitoring Tools &amp; Equipment  </t>
  </si>
  <si>
    <t xml:space="preserve">      (Science-Based Tools For DRRM &amp; CCA)</t>
  </si>
  <si>
    <t>JAN</t>
  </si>
  <si>
    <t>FEB</t>
  </si>
  <si>
    <t>Provincial Capitol, Executive Building, Brgy. Cabidianan, Nabunturan, Davao De Oro</t>
  </si>
  <si>
    <t>Improvement of Water System-Brgy. Babag, Monkayo (Add'l Appropriation)</t>
  </si>
  <si>
    <t xml:space="preserve">Construction of Gym, Brgy. Poblacion, Maco                      </t>
  </si>
  <si>
    <t>Construction of Public Terminal, Brgy. Camanlangan, New Bataan (Add'l Appropriation)</t>
  </si>
  <si>
    <t>Accepted Oct. 30, 2019</t>
  </si>
  <si>
    <t>Accepted Sept. 30, 2019</t>
  </si>
  <si>
    <t>Accepted July 5th, 2019</t>
  </si>
  <si>
    <t>Turn-over &amp; Acceptance</t>
  </si>
  <si>
    <t xml:space="preserve">Construction of Disaster Resilient Post Harvest Facilities      </t>
  </si>
  <si>
    <t>Construction of PRC, Phase III- Construction of 3x3.975 Comfort Room</t>
  </si>
  <si>
    <t>.</t>
  </si>
  <si>
    <t xml:space="preserve">Desilting and Bank Protection of Cabidianan-Pangutusan River                                 </t>
  </si>
  <si>
    <t>Construction and Heavy Equipment</t>
  </si>
  <si>
    <t>1 Off-road Carrier, Dump Body Crawler Type</t>
  </si>
  <si>
    <t xml:space="preserve">2 Hydraulic Excavator, Long Arm, Crawler Type       </t>
  </si>
  <si>
    <t xml:space="preserve">4 Hydraulic Excavator, Crawler Type </t>
  </si>
  <si>
    <t xml:space="preserve">Rehabilitation of Roads/Bridges - District I  </t>
  </si>
  <si>
    <t>Rehabilitation of Roads/Bridges - District II</t>
  </si>
  <si>
    <t xml:space="preserve">Concreting of Junction Nationall Highway - Purok 2 To PRC, Brgy. Sta. Maria, Nabunturan                </t>
  </si>
  <si>
    <t>Construction of PDEA Multi-Purpose Bldg., PPO-Nabunturan</t>
  </si>
  <si>
    <t xml:space="preserve">Construction of PDEA Multi-Purpose Bldg., PPO-Nabunturan- Phase II                           </t>
  </si>
  <si>
    <t>personal remarks</t>
  </si>
  <si>
    <t>no POW</t>
  </si>
  <si>
    <t>No POW</t>
  </si>
  <si>
    <t>Construction of 12 units Visitor's Kiosk</t>
  </si>
  <si>
    <t>Construction of PRC, Phase III - Construction of Kitchen</t>
  </si>
  <si>
    <t>Construction of PRC, Phase III - Embankment of 2,400 cu.m.</t>
  </si>
  <si>
    <t>Construction of PRC, Phase III - Construction of Administrative Building</t>
  </si>
  <si>
    <t>Document Scanner, Feeder Type (4 units @ 35,000)</t>
  </si>
  <si>
    <t>AB 2017 Completed 01/21/20</t>
  </si>
  <si>
    <t>AB 2018 Completed 01/24/20</t>
  </si>
  <si>
    <t>AB 2019 Completed 01/15/20</t>
  </si>
  <si>
    <t>SB#1 2019 Completed 01/05/20</t>
  </si>
  <si>
    <t>SB#1 2018 Completed 01/16/20</t>
  </si>
  <si>
    <t>SB#2 2017 Completed 12/18/19</t>
  </si>
  <si>
    <t>SB#1 2019 Completed 10/30/19</t>
  </si>
  <si>
    <t>AB 2019 Completed 10/25/19</t>
  </si>
  <si>
    <t>SB#1 2019 Completed 12/11/19</t>
  </si>
  <si>
    <t>SB#1 2019 Completed 10/23/19</t>
  </si>
  <si>
    <t>AB 2019 Completed 12/27/19</t>
  </si>
  <si>
    <t>AB 2019 Completed 07/15/19</t>
  </si>
  <si>
    <t>SB#1 2019 Completed 07/15/19</t>
  </si>
  <si>
    <t>Bask-magading (no Reso)</t>
  </si>
  <si>
    <t>SB#1 2018 Completed 12/27/19</t>
  </si>
  <si>
    <t xml:space="preserve">Concreting of 238.80 In.m. Road with 249.23 In.m. Concrete Gutter &amp; 309.9 sq.m. Concrete Sidewalk </t>
  </si>
  <si>
    <t xml:space="preserve">                Concreting of 238.80 In.m. Road with 249.23 In.m. Concrete Gutter &amp; 309.9 sq.m. Concrete Sidewalk </t>
  </si>
  <si>
    <t xml:space="preserve">                Construction of 12 units Visitor's Kiosk</t>
  </si>
  <si>
    <t xml:space="preserve">                Construction of 2 units of Detention Cell Building</t>
  </si>
  <si>
    <t xml:space="preserve">                Construction of Conjugal Building</t>
  </si>
  <si>
    <t xml:space="preserve">                Construction of Guard's Tower</t>
  </si>
  <si>
    <t xml:space="preserve">                Construction of Infirmary Building</t>
  </si>
  <si>
    <t xml:space="preserve">                Construction of Powerhouse and Electrical Installations</t>
  </si>
  <si>
    <t xml:space="preserve">                Drainage System</t>
  </si>
  <si>
    <t xml:space="preserve">                Perimeter Fence</t>
  </si>
  <si>
    <t xml:space="preserve">                Water System</t>
  </si>
  <si>
    <t xml:space="preserve">1) Provincial General Services Office                          </t>
  </si>
  <si>
    <t xml:space="preserve">2) Provincial Engineer's Office                                                         </t>
  </si>
  <si>
    <t xml:space="preserve">3) Local Disaster Risk Reduction Management Fund                                        </t>
  </si>
  <si>
    <t xml:space="preserve">               Construction of PRC, Phase III - Construction of Administrative Building</t>
  </si>
  <si>
    <t xml:space="preserve">               Construction of PRC, Phase III - Construction of Kitchen</t>
  </si>
  <si>
    <t xml:space="preserve">               Construction of PRC, Phase III - Embankment of 2,400 cu.m.</t>
  </si>
  <si>
    <t xml:space="preserve">               Construction of Provincial Rehabilitation Center</t>
  </si>
  <si>
    <t xml:space="preserve">              Construction of PRC, Phase III- Construction of 3x3.975 Comfort Room</t>
  </si>
  <si>
    <t>CY 2019</t>
  </si>
  <si>
    <t xml:space="preserve">4) Provincial Human Resource Management and Development Office                          </t>
  </si>
  <si>
    <t xml:space="preserve">5) 20% Development Fund                                                                 </t>
  </si>
  <si>
    <t xml:space="preserve">6) Provincial Economic Enterprise Mgt Office                                   </t>
  </si>
  <si>
    <t>7) Compostela Valley Provincial Hospital-Laak</t>
  </si>
  <si>
    <t xml:space="preserve">8) Provincial Engineer's Office                                                         </t>
  </si>
  <si>
    <t xml:space="preserve">9) 20% Development Fund                             </t>
  </si>
  <si>
    <t xml:space="preserve">10) Local Disaster Risk Reduction Management Fund                                        </t>
  </si>
  <si>
    <t xml:space="preserve">2) Provincial Vice Governor's Office                          </t>
  </si>
  <si>
    <t xml:space="preserve">3) Provincial Administrator's Office                          </t>
  </si>
  <si>
    <t xml:space="preserve">4) Commission On Audit                         </t>
  </si>
  <si>
    <t>6) Compostela Valley Provincial Hospital-Montevista</t>
  </si>
  <si>
    <t>7) Compostela Valley Provincial Hospital-Pantukan</t>
  </si>
  <si>
    <t>8) Compostela Valley Provincial Hospital-Maragusan</t>
  </si>
  <si>
    <t>checking</t>
  </si>
  <si>
    <t>zero means balance cont with per year</t>
  </si>
  <si>
    <t xml:space="preserve">Purchase and Install Flood and Landslide Early Warning Devices   </t>
  </si>
  <si>
    <t xml:space="preserve">                                   Construction of Protection Dike and Desilting of Liboton River at Purok 2A of Brgy. Salvacion, Monkayo</t>
  </si>
  <si>
    <t xml:space="preserve">Installation of Flood &amp; Landslide Early Warning Devices/Signage                  </t>
  </si>
  <si>
    <t xml:space="preserve">Acquisition of Science-based Tools for DRRM and CCA              </t>
  </si>
  <si>
    <t>Integrated Gold-Copper Mineral Processing Pilot Plant Research and Development Equipment</t>
  </si>
  <si>
    <t>Construction of Additional 4 units Visitor's Kiosk</t>
  </si>
  <si>
    <t xml:space="preserve">                Construction of Additional 4 units Visitor's Kiosk</t>
  </si>
  <si>
    <t>Continuing Allotment</t>
  </si>
  <si>
    <t>Continuing Allotment (Per Year)</t>
  </si>
  <si>
    <t>AB 2019 Completed 02/08/20</t>
  </si>
  <si>
    <t>AB 2019 Completed 02/22/20</t>
  </si>
  <si>
    <t>AB 2019 Completed 02/28/2020</t>
  </si>
  <si>
    <t>AB 2018 Completed 02/28/20</t>
  </si>
  <si>
    <t>Addback to cont allot 54,315.00 for Jan (cancelled na 2019 obr)</t>
  </si>
  <si>
    <t>add for march saaob</t>
  </si>
  <si>
    <t>SB#2 2017 Completed 10/26/18</t>
  </si>
  <si>
    <t>AB 2016 Completed 11/03/16</t>
  </si>
  <si>
    <t>Released May</t>
  </si>
  <si>
    <t xml:space="preserve">Establishment &amp; Updating of Family Risk Profile @ The Municipal &amp; Brgy. </t>
  </si>
  <si>
    <t xml:space="preserve">    Levels Purchase of IT Equipment                 </t>
  </si>
  <si>
    <t xml:space="preserve">Climate Change Adaptation &amp; Mitigation For Food Security - Agri-infrastructure, </t>
  </si>
  <si>
    <t xml:space="preserve">     Pre &amp; Post Harvest Facility Development Program                  </t>
  </si>
  <si>
    <t xml:space="preserve">Construction of Drainage at Prk Kauswagan, Prk Bagong Lipunan and Purok Manga </t>
  </si>
  <si>
    <t xml:space="preserve">        Chapoy Brgy. Mapawa, Maragusan</t>
  </si>
  <si>
    <t>BALANCES OF ALLOTMENTS</t>
  </si>
  <si>
    <t xml:space="preserve">        Prepared by:                                                                                                                                                                    </t>
  </si>
  <si>
    <t xml:space="preserve"> Reviewed by: </t>
  </si>
  <si>
    <t xml:space="preserve">                       REYMOND VAL J. NAQUILA</t>
  </si>
  <si>
    <t xml:space="preserve">                                 Budget Officer I</t>
  </si>
  <si>
    <t xml:space="preserve">        Prepared by:                                                                                                                                                                                        </t>
  </si>
  <si>
    <t xml:space="preserve">Reviewed by: </t>
  </si>
  <si>
    <t xml:space="preserve">                        REYMOND VAL J. NAQUILA</t>
  </si>
  <si>
    <t>SB#3 2017 Completed 01/31/20</t>
  </si>
  <si>
    <t>AB 2019 Realigned for SB1 2020</t>
  </si>
  <si>
    <t>SB#1 2019 Completed 03/25/20</t>
  </si>
  <si>
    <t>SB#1 2018 Completed 03/16/20</t>
  </si>
  <si>
    <t>Accepted 09/30/19</t>
  </si>
  <si>
    <t>Purchase of Lot for the Establishment of Kalayaan Center in Brgy. Libasan, Nabunturan</t>
  </si>
  <si>
    <t>Accepted 10/30/19</t>
  </si>
  <si>
    <t>Completed AB 2020</t>
  </si>
  <si>
    <t>Reb. Of brgy. Kiokmay-Brgy. Aguinaldo FMR, Laak</t>
  </si>
  <si>
    <t>SB#3 2018 Re-aligned SB#3 2020</t>
  </si>
  <si>
    <t>AB 2018 Re-aligned SB#3 2020</t>
  </si>
  <si>
    <t>AB 2019 Re-aligned SB#3 2020</t>
  </si>
  <si>
    <t>SB#3 2019 Re-aligned SB#3 2020</t>
  </si>
  <si>
    <t>AB 2016 Re-aligned SB#3 2020</t>
  </si>
  <si>
    <t>AB 2015 Re-aligned SB#3 2020</t>
  </si>
  <si>
    <t>AB 2017 Re-aligned SB#3 2020</t>
  </si>
  <si>
    <t>Construction of Multipurpose Building (Tribal Hall), New Panay, Maragusan (Add'l Appropriation)</t>
  </si>
  <si>
    <t>AB 2019 Realigned for SB#1, 2020</t>
  </si>
  <si>
    <t xml:space="preserve">Purchase, Construction and Improvement of Government Facilities -General </t>
  </si>
  <si>
    <t>Public Services</t>
  </si>
  <si>
    <t>SB#3 2019 Completed 6/17/2020</t>
  </si>
  <si>
    <t>AB 2018 Completed June 10, 2020</t>
  </si>
  <si>
    <t>Fabrication/installations of Shelves and Storage Cabinets</t>
  </si>
  <si>
    <t>SB#1 2016</t>
  </si>
  <si>
    <t>AB 2019 Completed</t>
  </si>
  <si>
    <t>AB 2018 Completed</t>
  </si>
  <si>
    <t>SB#1 2018 Req. for abandon</t>
  </si>
  <si>
    <t>SB#2 2017 Req. for abandon</t>
  </si>
  <si>
    <t xml:space="preserve">8) Local Disaster Risk Reduction Management Fund                                        </t>
  </si>
  <si>
    <t>OBR adj. 9.3.2020</t>
  </si>
  <si>
    <t>release from Cont appro, no Ledger</t>
  </si>
  <si>
    <t>Declared Savings for SB#4, 2020</t>
  </si>
  <si>
    <t>SB#1 2019 Completed 08/27/20</t>
  </si>
  <si>
    <t>SB#3 2017 Completed 06/30/20</t>
  </si>
  <si>
    <t>AB 2017 Completed 06/30/20</t>
  </si>
  <si>
    <t>SB#3 2017 Completed 07/30/20</t>
  </si>
  <si>
    <t>SB#1 2019 Completed 08/26/20</t>
  </si>
  <si>
    <t>SB#3 2017 Completed 08/07/20</t>
  </si>
  <si>
    <t>SB#1 2019 Completed 08/24/20</t>
  </si>
  <si>
    <t xml:space="preserve">SB#3 2017- APPROPRIATION ORD. NO. 04-2020 -RECLASS FROM F&amp;F TO IT EQPT                                         </t>
  </si>
  <si>
    <t>AB 2019 Completed 08/15/20</t>
  </si>
  <si>
    <t>AB 2019 Completed 09/30/20</t>
  </si>
  <si>
    <t>SB#1 2019 Completed 09/30/20</t>
  </si>
  <si>
    <t>SB#1 2019 Completed 10/15/2020</t>
  </si>
  <si>
    <t>SB#1 2019 Completed 10/30/2020</t>
  </si>
  <si>
    <t>SB#1 2019 Completed 10/31/2020</t>
  </si>
  <si>
    <t>SB#3 2019 Completed 10/31/2020</t>
  </si>
  <si>
    <t>AB 2019 Completed 10/30/2020</t>
  </si>
  <si>
    <t>AB 2019 Completed 10/27/2020</t>
  </si>
  <si>
    <t xml:space="preserve">3) Provincial Engineer's Office                                                         </t>
  </si>
  <si>
    <t>3) Provincial Engineer's Office- Loans</t>
  </si>
  <si>
    <t>4) Provincial Governor's Office</t>
  </si>
  <si>
    <t xml:space="preserve">5) Provincial Vice Governor's Office                          </t>
  </si>
  <si>
    <t xml:space="preserve">6) Provincial Administrator's Office                          </t>
  </si>
  <si>
    <t xml:space="preserve">7) Provincial Human Resource Management and Development Office                          </t>
  </si>
  <si>
    <t xml:space="preserve">8) Provincial General Services Office                          </t>
  </si>
  <si>
    <t xml:space="preserve">9) Commission On Audit                         </t>
  </si>
  <si>
    <t xml:space="preserve">16) Provincial Environment and Natural Resources Office                              </t>
  </si>
  <si>
    <t xml:space="preserve">17) Provincial Engineer's Office                                                         </t>
  </si>
  <si>
    <t>18) 20% Development Fund -Repairs and Maintenance of Government Facilities</t>
  </si>
  <si>
    <t xml:space="preserve">19) Local Disaster Risk Reduction Management Fund                                        </t>
  </si>
  <si>
    <t xml:space="preserve">5) Provincial General Services Office                          </t>
  </si>
  <si>
    <t xml:space="preserve">6) 20% Development Fund                                                                 </t>
  </si>
  <si>
    <t xml:space="preserve">7) Provincial Environment and Natural Resources Office                              </t>
  </si>
  <si>
    <t xml:space="preserve">          General Public Services- Loans                                                                   </t>
  </si>
  <si>
    <t xml:space="preserve">          Economic Services- Loans</t>
  </si>
  <si>
    <t>TOTAL CONTINUING ALLOTMENTS</t>
  </si>
  <si>
    <t>Declared Savings for SB#6, 2020</t>
  </si>
  <si>
    <t>as of December 31, 2020</t>
  </si>
  <si>
    <t>Daclared Savings for SB#5 2020</t>
  </si>
  <si>
    <t>SB#3 2017 Completed 04/30/20</t>
  </si>
  <si>
    <t>SB#3 2017 Completed 02/28/20</t>
  </si>
  <si>
    <t xml:space="preserve">10) 20% Development Fund                                                                 </t>
  </si>
  <si>
    <t xml:space="preserve">11) Provincial Economic Enterprise Mgt Office                                   </t>
  </si>
  <si>
    <t>12) Davao de Oro Provincial Hospital-Montevista</t>
  </si>
  <si>
    <t>13) Davao de Oro Provincial Hospital-Pantukan</t>
  </si>
  <si>
    <t>14) Davao de Oro Provincial Hospital-Laak</t>
  </si>
  <si>
    <t>15) Davao de Oro Provincial Hospital-Maragusan</t>
  </si>
  <si>
    <t xml:space="preserve">          General Public Services- Regular Accounts</t>
  </si>
  <si>
    <t xml:space="preserve">                                       (SGD.)</t>
  </si>
  <si>
    <t>(SGD.)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</si>
</sst>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###,###,##0.00"/>
  </numFmts>
  <fonts count="26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7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u/>
      <sz val="7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u/>
      <sz val="9"/>
      <name val="Arial Narrow"/>
      <family val="2"/>
    </font>
    <font>
      <b/>
      <u/>
      <sz val="10"/>
      <name val="Arial Narrow"/>
      <family val="2"/>
    </font>
    <font>
      <i/>
      <sz val="10"/>
      <color theme="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i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44D4A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/>
  </cellStyleXfs>
  <cellXfs count="23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65" fontId="3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/>
    </xf>
    <xf numFmtId="165" fontId="5" fillId="0" borderId="0" xfId="0" applyNumberFormat="1" applyFont="1"/>
    <xf numFmtId="0" fontId="7" fillId="0" borderId="0" xfId="0" applyFont="1" applyAlignment="1"/>
    <xf numFmtId="0" fontId="8" fillId="0" borderId="0" xfId="0" applyFont="1" applyAlignment="1">
      <alignment vertical="top"/>
    </xf>
    <xf numFmtId="0" fontId="9" fillId="0" borderId="0" xfId="0" applyFont="1" applyAlignment="1"/>
    <xf numFmtId="0" fontId="9" fillId="0" borderId="0" xfId="0" quotePrefix="1" applyFont="1" applyAlignment="1"/>
    <xf numFmtId="0" fontId="8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left" indent="1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/>
    <xf numFmtId="0" fontId="11" fillId="0" borderId="0" xfId="0" applyNumberFormat="1" applyFont="1" applyAlignment="1">
      <alignment horizontal="right"/>
    </xf>
    <xf numFmtId="0" fontId="1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/>
    <xf numFmtId="165" fontId="5" fillId="0" borderId="1" xfId="0" applyNumberFormat="1" applyFont="1" applyBorder="1"/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 vertical="top"/>
    </xf>
    <xf numFmtId="0" fontId="4" fillId="0" borderId="0" xfId="0" applyFont="1"/>
    <xf numFmtId="0" fontId="15" fillId="0" borderId="0" xfId="0" applyFont="1" applyBorder="1" applyAlignment="1">
      <alignment horizontal="center"/>
    </xf>
    <xf numFmtId="43" fontId="3" fillId="0" borderId="0" xfId="1" applyFont="1" applyAlignment="1"/>
    <xf numFmtId="0" fontId="8" fillId="0" borderId="0" xfId="0" applyFont="1" applyAlignment="1">
      <alignment horizontal="left" vertical="top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Fill="1" applyAlignment="1"/>
    <xf numFmtId="0" fontId="0" fillId="0" borderId="0" xfId="0" applyFill="1"/>
    <xf numFmtId="0" fontId="8" fillId="0" borderId="0" xfId="0" applyFont="1" applyFill="1" applyAlignment="1">
      <alignment vertical="top"/>
    </xf>
    <xf numFmtId="43" fontId="8" fillId="0" borderId="0" xfId="1" applyFont="1" applyFill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43" fontId="3" fillId="0" borderId="0" xfId="1" applyFont="1" applyFill="1"/>
    <xf numFmtId="43" fontId="11" fillId="0" borderId="0" xfId="1" applyFont="1" applyFill="1" applyAlignment="1">
      <alignment horizontal="right"/>
    </xf>
    <xf numFmtId="0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43" fontId="12" fillId="0" borderId="0" xfId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43" fontId="5" fillId="0" borderId="1" xfId="1" applyFont="1" applyFill="1" applyBorder="1"/>
    <xf numFmtId="165" fontId="5" fillId="0" borderId="0" xfId="0" applyNumberFormat="1" applyFont="1" applyFill="1"/>
    <xf numFmtId="0" fontId="4" fillId="0" borderId="0" xfId="0" applyFont="1" applyFill="1" applyAlignment="1">
      <alignment horizontal="center"/>
    </xf>
    <xf numFmtId="43" fontId="5" fillId="0" borderId="0" xfId="1" applyFont="1" applyFill="1"/>
    <xf numFmtId="0" fontId="3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43" fontId="0" fillId="0" borderId="0" xfId="1" applyFont="1" applyFill="1"/>
    <xf numFmtId="43" fontId="3" fillId="2" borderId="0" xfId="1" applyFont="1" applyFill="1"/>
    <xf numFmtId="43" fontId="7" fillId="0" borderId="0" xfId="1" applyFont="1" applyFill="1" applyAlignment="1"/>
    <xf numFmtId="43" fontId="8" fillId="0" borderId="0" xfId="1" applyFont="1" applyFill="1" applyAlignment="1">
      <alignment vertical="top"/>
    </xf>
    <xf numFmtId="0" fontId="8" fillId="0" borderId="0" xfId="0" applyFont="1" applyFill="1" applyAlignment="1">
      <alignment horizontal="center" vertical="top"/>
    </xf>
    <xf numFmtId="0" fontId="2" fillId="0" borderId="0" xfId="0" applyFont="1" applyFill="1" applyAlignment="1"/>
    <xf numFmtId="0" fontId="7" fillId="0" borderId="0" xfId="0" quotePrefix="1" applyFont="1" applyFill="1" applyAlignment="1"/>
    <xf numFmtId="43" fontId="0" fillId="2" borderId="0" xfId="1" applyFont="1" applyFill="1"/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top"/>
    </xf>
    <xf numFmtId="0" fontId="3" fillId="3" borderId="0" xfId="0" applyFont="1" applyFill="1"/>
    <xf numFmtId="43" fontId="3" fillId="3" borderId="0" xfId="1" applyFont="1" applyFill="1"/>
    <xf numFmtId="43" fontId="3" fillId="4" borderId="0" xfId="1" applyFont="1" applyFill="1"/>
    <xf numFmtId="0" fontId="0" fillId="3" borderId="0" xfId="0" applyFill="1"/>
    <xf numFmtId="0" fontId="0" fillId="4" borderId="0" xfId="0" applyFill="1"/>
    <xf numFmtId="43" fontId="3" fillId="5" borderId="0" xfId="1" applyFont="1" applyFill="1"/>
    <xf numFmtId="43" fontId="0" fillId="0" borderId="0" xfId="1" applyFont="1"/>
    <xf numFmtId="0" fontId="8" fillId="0" borderId="0" xfId="0" applyFont="1" applyFill="1" applyAlignment="1">
      <alignment horizontal="left" vertical="top"/>
    </xf>
    <xf numFmtId="43" fontId="7" fillId="0" borderId="0" xfId="1" applyFont="1" applyFill="1" applyAlignment="1">
      <alignment horizontal="center"/>
    </xf>
    <xf numFmtId="43" fontId="7" fillId="0" borderId="0" xfId="1" applyFont="1" applyFill="1" applyAlignment="1">
      <alignment horizontal="center" vertical="top"/>
    </xf>
    <xf numFmtId="43" fontId="7" fillId="0" borderId="0" xfId="1" quotePrefix="1" applyFont="1" applyFill="1" applyAlignment="1">
      <alignment horizont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/>
    </xf>
    <xf numFmtId="43" fontId="18" fillId="0" borderId="0" xfId="1" applyFont="1" applyFill="1"/>
    <xf numFmtId="0" fontId="18" fillId="0" borderId="0" xfId="0" applyFont="1" applyFill="1"/>
    <xf numFmtId="0" fontId="10" fillId="0" borderId="0" xfId="0" applyFont="1" applyFill="1" applyAlignment="1">
      <alignment horizontal="center" vertical="top"/>
    </xf>
    <xf numFmtId="0" fontId="16" fillId="0" borderId="0" xfId="0" applyFont="1" applyFill="1" applyAlignment="1">
      <alignment vertical="top"/>
    </xf>
    <xf numFmtId="0" fontId="16" fillId="0" borderId="0" xfId="0" applyFont="1" applyFill="1" applyAlignment="1">
      <alignment horizontal="left" vertical="top"/>
    </xf>
    <xf numFmtId="0" fontId="1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/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left"/>
    </xf>
    <xf numFmtId="0" fontId="18" fillId="0" borderId="0" xfId="0" applyFont="1" applyFill="1" applyAlignment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wrapText="1"/>
    </xf>
    <xf numFmtId="0" fontId="16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vertical="top" wrapText="1"/>
    </xf>
    <xf numFmtId="0" fontId="0" fillId="0" borderId="0" xfId="0" applyFont="1" applyFill="1"/>
    <xf numFmtId="43" fontId="7" fillId="0" borderId="0" xfId="1" quotePrefix="1" applyFont="1" applyFill="1" applyAlignment="1"/>
    <xf numFmtId="43" fontId="2" fillId="0" borderId="0" xfId="1" applyFont="1" applyFill="1"/>
    <xf numFmtId="43" fontId="2" fillId="0" borderId="0" xfId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43" fontId="7" fillId="0" borderId="0" xfId="1" applyFont="1" applyFill="1" applyAlignment="1">
      <alignment horizontal="right"/>
    </xf>
    <xf numFmtId="0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center"/>
    </xf>
    <xf numFmtId="43" fontId="21" fillId="0" borderId="0" xfId="1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0" fontId="2" fillId="0" borderId="0" xfId="0" applyFont="1" applyFill="1"/>
    <xf numFmtId="43" fontId="2" fillId="0" borderId="1" xfId="1" applyFont="1" applyFill="1" applyBorder="1"/>
    <xf numFmtId="165" fontId="2" fillId="0" borderId="0" xfId="0" applyNumberFormat="1" applyFont="1" applyFill="1"/>
    <xf numFmtId="0" fontId="2" fillId="0" borderId="0" xfId="0" applyFont="1" applyFill="1" applyAlignment="1">
      <alignment horizontal="left"/>
    </xf>
    <xf numFmtId="165" fontId="0" fillId="0" borderId="0" xfId="0" applyNumberFormat="1" applyFont="1" applyFill="1"/>
    <xf numFmtId="0" fontId="22" fillId="0" borderId="0" xfId="0" applyFont="1" applyFill="1"/>
    <xf numFmtId="0" fontId="8" fillId="0" borderId="0" xfId="0" applyFont="1" applyFill="1" applyAlignment="1"/>
    <xf numFmtId="43" fontId="2" fillId="0" borderId="0" xfId="1" applyFont="1" applyFill="1" applyBorder="1"/>
    <xf numFmtId="0" fontId="23" fillId="0" borderId="0" xfId="0" applyFont="1" applyFill="1" applyAlignment="1"/>
    <xf numFmtId="0" fontId="8" fillId="0" borderId="0" xfId="0" applyFont="1" applyFill="1" applyAlignment="1">
      <alignment horizontal="left"/>
    </xf>
    <xf numFmtId="43" fontId="8" fillId="0" borderId="0" xfId="1" applyFont="1" applyFill="1" applyAlignment="1">
      <alignment horizontal="right"/>
    </xf>
    <xf numFmtId="43" fontId="8" fillId="0" borderId="0" xfId="1" applyFont="1" applyFill="1" applyAlignment="1">
      <alignment horizontal="left"/>
    </xf>
    <xf numFmtId="43" fontId="0" fillId="0" borderId="0" xfId="1" applyFont="1" applyFill="1" applyBorder="1"/>
    <xf numFmtId="43" fontId="8" fillId="0" borderId="0" xfId="1" applyFont="1" applyFill="1" applyAlignment="1">
      <alignment horizontal="center"/>
    </xf>
    <xf numFmtId="0" fontId="24" fillId="0" borderId="0" xfId="0" applyFont="1" applyFill="1" applyAlignment="1"/>
    <xf numFmtId="43" fontId="25" fillId="0" borderId="1" xfId="1" applyFont="1" applyFill="1" applyBorder="1"/>
    <xf numFmtId="165" fontId="2" fillId="0" borderId="1" xfId="0" applyNumberFormat="1" applyFont="1" applyFill="1" applyBorder="1"/>
    <xf numFmtId="165" fontId="2" fillId="0" borderId="0" xfId="0" applyNumberFormat="1" applyFont="1" applyFill="1" applyBorder="1"/>
    <xf numFmtId="0" fontId="0" fillId="0" borderId="0" xfId="0" applyFont="1" applyFill="1" applyAlignment="1"/>
    <xf numFmtId="43" fontId="8" fillId="0" borderId="0" xfId="1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 wrapText="1"/>
    </xf>
    <xf numFmtId="43" fontId="8" fillId="0" borderId="0" xfId="1" applyFont="1" applyFill="1" applyAlignment="1">
      <alignment wrapText="1"/>
    </xf>
    <xf numFmtId="43" fontId="0" fillId="0" borderId="0" xfId="1" applyFont="1" applyFill="1" applyAlignment="1">
      <alignment horizontal="left"/>
    </xf>
    <xf numFmtId="0" fontId="0" fillId="0" borderId="0" xfId="0" applyFont="1" applyFill="1" applyAlignment="1">
      <alignment horizontal="left" vertical="top" wrapText="1"/>
    </xf>
    <xf numFmtId="43" fontId="0" fillId="0" borderId="0" xfId="1" applyFont="1" applyFill="1" applyAlignment="1">
      <alignment horizontal="left" vertical="top" wrapText="1"/>
    </xf>
    <xf numFmtId="43" fontId="0" fillId="0" borderId="0" xfId="1" applyFont="1" applyFill="1" applyAlignment="1"/>
    <xf numFmtId="0" fontId="0" fillId="0" borderId="0" xfId="0" applyFont="1" applyFill="1" applyAlignment="1">
      <alignment vertical="top"/>
    </xf>
    <xf numFmtId="43" fontId="0" fillId="0" borderId="0" xfId="1" applyFont="1" applyFill="1" applyAlignment="1">
      <alignment vertical="top" wrapText="1"/>
    </xf>
    <xf numFmtId="0" fontId="0" fillId="0" borderId="0" xfId="0" applyFont="1" applyFill="1" applyAlignment="1">
      <alignment horizontal="left" vertical="top"/>
    </xf>
    <xf numFmtId="43" fontId="0" fillId="0" borderId="0" xfId="1" applyFont="1" applyFill="1" applyAlignment="1">
      <alignment horizontal="center"/>
    </xf>
    <xf numFmtId="43" fontId="2" fillId="0" borderId="0" xfId="1" applyFont="1" applyFill="1" applyAlignment="1">
      <alignment horizontal="left"/>
    </xf>
    <xf numFmtId="0" fontId="0" fillId="0" borderId="0" xfId="0" applyFont="1" applyFill="1" applyAlignment="1">
      <alignment wrapText="1"/>
    </xf>
    <xf numFmtId="0" fontId="16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wrapText="1"/>
    </xf>
    <xf numFmtId="43" fontId="21" fillId="0" borderId="0" xfId="1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center" wrapText="1"/>
    </xf>
    <xf numFmtId="0" fontId="0" fillId="0" borderId="0" xfId="1" applyNumberFormat="1" applyFont="1" applyFill="1" applyAlignment="1">
      <alignment horizontal="left"/>
    </xf>
    <xf numFmtId="0" fontId="10" fillId="0" borderId="0" xfId="0" applyFont="1" applyFill="1" applyAlignment="1">
      <alignment vertical="top"/>
    </xf>
    <xf numFmtId="43" fontId="2" fillId="0" borderId="0" xfId="0" applyNumberFormat="1" applyFont="1" applyFill="1"/>
    <xf numFmtId="43" fontId="18" fillId="0" borderId="0" xfId="1" applyFont="1" applyFill="1" applyAlignment="1">
      <alignment wrapText="1"/>
    </xf>
    <xf numFmtId="43" fontId="19" fillId="0" borderId="0" xfId="1" applyFont="1" applyFill="1" applyAlignment="1">
      <alignment wrapText="1"/>
    </xf>
    <xf numFmtId="0" fontId="16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center"/>
    </xf>
    <xf numFmtId="43" fontId="1" fillId="0" borderId="0" xfId="1" applyFont="1" applyFill="1" applyBorder="1"/>
    <xf numFmtId="0" fontId="18" fillId="0" borderId="0" xfId="0" applyFont="1" applyFill="1" applyAlignment="1">
      <alignment horizontal="right"/>
    </xf>
    <xf numFmtId="14" fontId="0" fillId="0" borderId="0" xfId="0" applyNumberFormat="1"/>
    <xf numFmtId="0" fontId="18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43" fontId="0" fillId="0" borderId="0" xfId="1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/>
    </xf>
    <xf numFmtId="43" fontId="0" fillId="0" borderId="0" xfId="1" applyFont="1" applyFill="1" applyAlignment="1">
      <alignment horizontal="left" vertical="center"/>
    </xf>
    <xf numFmtId="0" fontId="0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/>
    </xf>
    <xf numFmtId="43" fontId="0" fillId="0" borderId="0" xfId="1" applyFont="1" applyFill="1" applyAlignment="1">
      <alignment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top"/>
    </xf>
    <xf numFmtId="43" fontId="0" fillId="0" borderId="0" xfId="1" applyFont="1" applyFill="1" applyAlignment="1">
      <alignment vertical="top"/>
    </xf>
    <xf numFmtId="165" fontId="0" fillId="0" borderId="0" xfId="0" applyNumberFormat="1" applyFont="1" applyFill="1" applyAlignment="1">
      <alignment vertical="top"/>
    </xf>
    <xf numFmtId="43" fontId="0" fillId="0" borderId="0" xfId="0" applyNumberFormat="1" applyFont="1" applyFill="1" applyAlignment="1">
      <alignment horizontal="left" vertical="top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center" vertical="top"/>
    </xf>
    <xf numFmtId="43" fontId="2" fillId="0" borderId="1" xfId="1" applyFont="1" applyFill="1" applyBorder="1" applyAlignment="1">
      <alignment vertical="top"/>
    </xf>
    <xf numFmtId="0" fontId="16" fillId="0" borderId="0" xfId="0" applyFont="1" applyFill="1" applyAlignment="1">
      <alignment horizontal="left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center"/>
    </xf>
    <xf numFmtId="164" fontId="19" fillId="0" borderId="0" xfId="0" applyNumberFormat="1" applyFont="1" applyFill="1"/>
    <xf numFmtId="43" fontId="19" fillId="0" borderId="0" xfId="0" applyNumberFormat="1" applyFont="1" applyFill="1" applyAlignment="1">
      <alignment horizontal="left" wrapText="1"/>
    </xf>
    <xf numFmtId="0" fontId="8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43" fontId="0" fillId="0" borderId="0" xfId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3" fontId="7" fillId="0" borderId="0" xfId="1" applyFont="1" applyFill="1" applyBorder="1" applyAlignment="1">
      <alignment horizontal="center"/>
    </xf>
    <xf numFmtId="0" fontId="16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43" fontId="0" fillId="0" borderId="0" xfId="1" applyFont="1" applyFill="1" applyAlignment="1">
      <alignment horizontal="center"/>
    </xf>
    <xf numFmtId="0" fontId="18" fillId="0" borderId="0" xfId="0" applyFont="1" applyFill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3" fontId="7" fillId="0" borderId="0" xfId="1" applyFont="1" applyFill="1" applyBorder="1" applyAlignment="1">
      <alignment horizontal="center" wrapText="1"/>
    </xf>
    <xf numFmtId="43" fontId="7" fillId="0" borderId="1" xfId="1" applyFont="1" applyFill="1" applyBorder="1" applyAlignment="1">
      <alignment horizontal="center" wrapText="1"/>
    </xf>
    <xf numFmtId="43" fontId="7" fillId="0" borderId="0" xfId="1" applyFont="1" applyFill="1" applyBorder="1" applyAlignment="1">
      <alignment horizontal="center"/>
    </xf>
    <xf numFmtId="43" fontId="7" fillId="0" borderId="1" xfId="1" applyFont="1" applyFill="1" applyBorder="1" applyAlignment="1">
      <alignment horizontal="center"/>
    </xf>
    <xf numFmtId="0" fontId="16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0" fontId="2" fillId="6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21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8" fillId="0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D44D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388940</xdr:colOff>
      <xdr:row>2</xdr:row>
      <xdr:rowOff>87314</xdr:rowOff>
    </xdr:from>
    <xdr:to>
      <xdr:col>3</xdr:col>
      <xdr:colOff>1246188</xdr:colOff>
      <xdr:row>8</xdr:row>
      <xdr:rowOff>55562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565" y="420689"/>
          <a:ext cx="857248" cy="857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103186</xdr:colOff>
      <xdr:row>2</xdr:row>
      <xdr:rowOff>150813</xdr:rowOff>
    </xdr:from>
    <xdr:to>
      <xdr:col>3</xdr:col>
      <xdr:colOff>533399</xdr:colOff>
      <xdr:row>9</xdr:row>
      <xdr:rowOff>1588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24" y="468313"/>
          <a:ext cx="898525" cy="898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71"/>
  <sheetViews>
    <sheetView tabSelected="1" zoomScaleNormal="100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AA18" sqref="AA18"/>
    </sheetView>
  </sheetViews>
  <sheetFormatPr defaultRowHeight="13.5" x14ac:dyDescent="0.25"/>
  <cols>
    <col min="1" max="1" width="2.6640625" style="96" customWidth="1"/>
    <col min="2" max="2" width="2.1640625" style="96" customWidth="1"/>
    <col min="3" max="3" width="4.83203125" style="96" customWidth="1"/>
    <col min="4" max="4" width="71.5" style="96" customWidth="1"/>
    <col min="5" max="5" width="8" style="197" customWidth="1"/>
    <col min="6" max="6" width="15.1640625" style="52" customWidth="1"/>
    <col min="7" max="8" width="14.5" style="52" customWidth="1"/>
    <col min="9" max="9" width="9.83203125" style="77" customWidth="1"/>
    <col min="10" max="10" width="14.83203125" style="77" customWidth="1"/>
    <col min="11" max="11" width="10.33203125" style="202" customWidth="1"/>
    <col min="12" max="12" width="14.6640625" style="101" hidden="1" customWidth="1"/>
    <col min="13" max="13" width="11.1640625" style="52" hidden="1" customWidth="1"/>
    <col min="14" max="14" width="14" style="52" hidden="1" customWidth="1"/>
    <col min="15" max="15" width="9.83203125" style="52" hidden="1" customWidth="1"/>
    <col min="16" max="16" width="12.83203125" style="52" hidden="1" customWidth="1"/>
    <col min="17" max="17" width="16" style="52" hidden="1" customWidth="1"/>
    <col min="18" max="18" width="12.83203125" style="52" hidden="1" customWidth="1"/>
    <col min="19" max="19" width="13" style="52" hidden="1" customWidth="1"/>
    <col min="20" max="20" width="11.1640625" style="52" hidden="1" customWidth="1"/>
    <col min="21" max="23" width="13" style="52" hidden="1" customWidth="1"/>
    <col min="24" max="24" width="11.5" style="52" hidden="1" customWidth="1"/>
    <col min="25" max="25" width="0" style="52" hidden="1" customWidth="1"/>
    <col min="26" max="26" width="0" style="96" hidden="1" customWidth="1"/>
    <col min="27" max="16384" width="9.33203125" style="96"/>
  </cols>
  <sheetData>
    <row r="2" spans="1:25" ht="12.75" x14ac:dyDescent="0.2">
      <c r="A2" s="204" t="s">
        <v>63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188"/>
      <c r="M2" s="70"/>
      <c r="N2" s="70"/>
      <c r="O2" s="54"/>
      <c r="P2" s="54"/>
      <c r="Q2" s="54"/>
      <c r="R2" s="54"/>
      <c r="S2" s="54"/>
      <c r="T2" s="54"/>
      <c r="U2" s="54"/>
      <c r="V2" s="54"/>
      <c r="W2" s="54"/>
    </row>
    <row r="3" spans="1:25" ht="12.75" x14ac:dyDescent="0.2">
      <c r="A3" s="204" t="s">
        <v>240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188"/>
      <c r="M3" s="70"/>
      <c r="N3" s="70"/>
      <c r="O3" s="54"/>
      <c r="P3" s="54"/>
      <c r="Q3" s="54"/>
      <c r="R3" s="54"/>
      <c r="S3" s="54"/>
      <c r="T3" s="54"/>
      <c r="U3" s="54"/>
      <c r="V3" s="54"/>
      <c r="W3" s="54"/>
    </row>
    <row r="4" spans="1:25" ht="12.75" x14ac:dyDescent="0.2">
      <c r="A4" s="204" t="s">
        <v>185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188"/>
      <c r="M4" s="70"/>
      <c r="N4" s="70"/>
      <c r="O4" s="54"/>
      <c r="P4" s="54"/>
      <c r="Q4" s="54"/>
      <c r="R4" s="54"/>
      <c r="S4" s="54"/>
      <c r="T4" s="54"/>
      <c r="U4" s="54"/>
      <c r="V4" s="54"/>
      <c r="W4" s="54"/>
    </row>
    <row r="5" spans="1:25" ht="12.75" x14ac:dyDescent="0.2">
      <c r="A5" s="205" t="s">
        <v>471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199"/>
      <c r="M5" s="71"/>
      <c r="N5" s="71"/>
      <c r="O5" s="55"/>
      <c r="P5" s="55"/>
      <c r="Q5" s="55"/>
      <c r="R5" s="55"/>
      <c r="S5" s="55"/>
      <c r="T5" s="55"/>
      <c r="U5" s="55"/>
      <c r="V5" s="55"/>
      <c r="W5" s="55"/>
    </row>
    <row r="6" spans="1:25" ht="7.5" customHeight="1" x14ac:dyDescent="0.2">
      <c r="A6" s="187"/>
      <c r="B6" s="187"/>
      <c r="C6" s="187"/>
      <c r="D6" s="187"/>
      <c r="E6" s="151"/>
      <c r="F6" s="33"/>
      <c r="G6" s="33"/>
      <c r="H6" s="33"/>
      <c r="I6" s="79"/>
      <c r="J6" s="79"/>
      <c r="K6" s="141"/>
      <c r="L6" s="69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</row>
    <row r="7" spans="1:25" ht="12.75" x14ac:dyDescent="0.2">
      <c r="A7" s="206" t="s">
        <v>66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188"/>
      <c r="M7" s="70"/>
      <c r="N7" s="70"/>
      <c r="O7" s="54"/>
      <c r="P7" s="52">
        <v>104024769.66999999</v>
      </c>
      <c r="Q7" s="52">
        <v>43466</v>
      </c>
      <c r="R7" s="54"/>
      <c r="S7" s="54"/>
      <c r="T7" s="54"/>
      <c r="U7" s="54"/>
      <c r="V7" s="54"/>
      <c r="W7" s="54"/>
      <c r="X7" s="52" t="s">
        <v>248</v>
      </c>
    </row>
    <row r="8" spans="1:25" ht="12.75" x14ac:dyDescent="0.2">
      <c r="A8" s="207" t="s">
        <v>557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189"/>
      <c r="M8" s="72"/>
      <c r="N8" s="72"/>
      <c r="O8" s="97"/>
      <c r="P8" s="98">
        <v>194579</v>
      </c>
      <c r="Q8" s="98"/>
      <c r="R8" s="97"/>
      <c r="S8" s="97"/>
      <c r="T8" s="97"/>
      <c r="U8" s="97"/>
      <c r="V8" s="97"/>
      <c r="W8" s="97"/>
    </row>
    <row r="9" spans="1:25" ht="12.75" x14ac:dyDescent="0.2">
      <c r="A9" s="214" t="s">
        <v>68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194"/>
      <c r="M9" s="190"/>
      <c r="N9" s="190"/>
      <c r="O9" s="54"/>
      <c r="P9" s="52">
        <f>+P8+P7</f>
        <v>104219348.66999999</v>
      </c>
      <c r="R9" s="54"/>
      <c r="S9" s="54"/>
      <c r="T9" s="54"/>
      <c r="U9" s="54"/>
      <c r="V9" s="54" t="s">
        <v>148</v>
      </c>
      <c r="W9" s="54"/>
    </row>
    <row r="10" spans="1:25" ht="12.75" x14ac:dyDescent="0.2">
      <c r="A10" s="206" t="s">
        <v>650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188"/>
      <c r="M10" s="70"/>
      <c r="N10" s="70"/>
      <c r="O10" s="54"/>
      <c r="P10" s="52">
        <f>+F15</f>
        <v>118755426.32000002</v>
      </c>
      <c r="Q10" s="52">
        <v>43497</v>
      </c>
      <c r="R10" s="54"/>
      <c r="S10" s="54"/>
      <c r="T10" s="54"/>
      <c r="U10" s="54"/>
      <c r="V10" s="54"/>
      <c r="W10" s="54"/>
    </row>
    <row r="11" spans="1:25" x14ac:dyDescent="0.25">
      <c r="P11" s="52">
        <f>+P9-P10</f>
        <v>-14536077.650000036</v>
      </c>
      <c r="Q11" s="52" t="s">
        <v>131</v>
      </c>
    </row>
    <row r="12" spans="1:25" ht="13.5" customHeight="1" x14ac:dyDescent="0.25">
      <c r="A12" s="167"/>
      <c r="B12" s="167"/>
      <c r="C12" s="167"/>
      <c r="D12" s="167"/>
      <c r="E12" s="168"/>
      <c r="F12" s="217" t="s">
        <v>73</v>
      </c>
      <c r="G12" s="217" t="s">
        <v>74</v>
      </c>
      <c r="H12" s="215" t="s">
        <v>574</v>
      </c>
      <c r="I12" s="213" t="s">
        <v>76</v>
      </c>
      <c r="J12" s="213"/>
      <c r="K12" s="213"/>
      <c r="L12" s="104"/>
      <c r="M12" s="70"/>
      <c r="N12" s="70"/>
    </row>
    <row r="13" spans="1:25" ht="26.25" customHeight="1" x14ac:dyDescent="0.25">
      <c r="A13" s="211" t="s">
        <v>71</v>
      </c>
      <c r="B13" s="211"/>
      <c r="C13" s="211"/>
      <c r="D13" s="211"/>
      <c r="E13" s="193" t="s">
        <v>72</v>
      </c>
      <c r="F13" s="218"/>
      <c r="G13" s="218"/>
      <c r="H13" s="216"/>
      <c r="I13" s="193" t="s">
        <v>77</v>
      </c>
      <c r="J13" s="193" t="s">
        <v>78</v>
      </c>
      <c r="K13" s="169" t="s">
        <v>478</v>
      </c>
      <c r="L13" s="107" t="s">
        <v>492</v>
      </c>
      <c r="M13" s="195" t="s">
        <v>469</v>
      </c>
      <c r="N13" s="195" t="s">
        <v>470</v>
      </c>
      <c r="O13" s="105" t="s">
        <v>174</v>
      </c>
      <c r="P13" s="52" t="s">
        <v>175</v>
      </c>
      <c r="Q13" s="52" t="s">
        <v>176</v>
      </c>
      <c r="R13" s="52" t="s">
        <v>177</v>
      </c>
      <c r="S13" s="52" t="s">
        <v>178</v>
      </c>
      <c r="T13" s="52" t="s">
        <v>179</v>
      </c>
      <c r="U13" s="52" t="s">
        <v>180</v>
      </c>
      <c r="V13" s="52" t="s">
        <v>181</v>
      </c>
      <c r="W13" s="52" t="s">
        <v>182</v>
      </c>
      <c r="X13" s="52" t="s">
        <v>183</v>
      </c>
    </row>
    <row r="14" spans="1:25" x14ac:dyDescent="0.25">
      <c r="F14" s="171"/>
    </row>
    <row r="15" spans="1:25" s="108" customFormat="1" x14ac:dyDescent="0.25">
      <c r="A15" s="108" t="s">
        <v>648</v>
      </c>
      <c r="E15" s="81" t="s">
        <v>0</v>
      </c>
      <c r="F15" s="109">
        <f>+F70+F271+F295+F237+F68</f>
        <v>118755426.32000002</v>
      </c>
      <c r="G15" s="109">
        <f t="shared" ref="G15:H15" si="0">+G70+G271+G295+G237+G68</f>
        <v>83935711.790000007</v>
      </c>
      <c r="H15" s="109">
        <f t="shared" si="0"/>
        <v>34819714.530000001</v>
      </c>
      <c r="I15" s="185"/>
      <c r="J15" s="185"/>
      <c r="K15" s="186"/>
      <c r="L15" s="111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</row>
    <row r="17" spans="1:25" x14ac:dyDescent="0.25">
      <c r="A17" s="108" t="s">
        <v>130</v>
      </c>
      <c r="E17" s="81"/>
    </row>
    <row r="18" spans="1:25" s="108" customFormat="1" x14ac:dyDescent="0.25">
      <c r="A18" s="108" t="s">
        <v>646</v>
      </c>
      <c r="E18" s="81" t="s">
        <v>0</v>
      </c>
      <c r="F18" s="109">
        <f>+F20+F46</f>
        <v>27356387.93</v>
      </c>
      <c r="G18" s="109">
        <f t="shared" ref="G18:H18" si="1">+G20+G46</f>
        <v>19973901.240000002</v>
      </c>
      <c r="H18" s="109">
        <f t="shared" si="1"/>
        <v>7382486.6900000013</v>
      </c>
      <c r="I18" s="85"/>
      <c r="J18" s="85"/>
      <c r="K18" s="143"/>
      <c r="L18" s="111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</row>
    <row r="19" spans="1:25" x14ac:dyDescent="0.25">
      <c r="C19" s="113"/>
    </row>
    <row r="20" spans="1:25" x14ac:dyDescent="0.25">
      <c r="A20" s="108" t="s">
        <v>0</v>
      </c>
      <c r="B20" s="108" t="s">
        <v>132</v>
      </c>
      <c r="C20" s="108"/>
      <c r="D20" s="108"/>
      <c r="E20" s="81">
        <v>1011</v>
      </c>
      <c r="F20" s="109">
        <f>SUM(F23:F44)</f>
        <v>22096008.209999997</v>
      </c>
      <c r="G20" s="109">
        <f>SUM(G23:G44)</f>
        <v>15522544.43</v>
      </c>
      <c r="H20" s="109">
        <f>SUM(H23:H44)</f>
        <v>6573463.7800000003</v>
      </c>
    </row>
    <row r="21" spans="1:25" x14ac:dyDescent="0.25">
      <c r="A21" s="108"/>
      <c r="B21" s="108"/>
      <c r="C21" s="114" t="s">
        <v>80</v>
      </c>
      <c r="F21" s="115"/>
      <c r="G21" s="115"/>
      <c r="H21" s="115"/>
    </row>
    <row r="22" spans="1:25" x14ac:dyDescent="0.25">
      <c r="A22" s="108"/>
      <c r="B22" s="108"/>
      <c r="C22" s="116" t="s">
        <v>115</v>
      </c>
      <c r="F22" s="115"/>
      <c r="G22" s="115"/>
      <c r="H22" s="115"/>
    </row>
    <row r="23" spans="1:25" x14ac:dyDescent="0.25">
      <c r="A23" s="96" t="s">
        <v>284</v>
      </c>
      <c r="D23" s="96" t="s">
        <v>353</v>
      </c>
      <c r="E23" s="197">
        <v>10702990</v>
      </c>
      <c r="F23" s="52">
        <f>82200+89832</f>
        <v>172032</v>
      </c>
      <c r="G23" s="52">
        <f t="shared" ref="G23:G29" si="2">SUM(M23:X23)</f>
        <v>129102</v>
      </c>
      <c r="H23" s="52">
        <f t="shared" ref="H23:H29" si="3">F23-G23</f>
        <v>42930</v>
      </c>
      <c r="J23" s="87" t="s">
        <v>137</v>
      </c>
      <c r="K23" s="196"/>
      <c r="L23" s="117" t="s">
        <v>611</v>
      </c>
      <c r="M23" s="118"/>
      <c r="N23" s="118">
        <v>47793</v>
      </c>
      <c r="U23" s="52">
        <v>81309</v>
      </c>
    </row>
    <row r="24" spans="1:25" x14ac:dyDescent="0.25">
      <c r="A24" s="96" t="s">
        <v>346</v>
      </c>
      <c r="D24" s="96" t="s">
        <v>347</v>
      </c>
      <c r="E24" s="197">
        <v>10702990</v>
      </c>
      <c r="F24" s="52">
        <v>11609633.389999999</v>
      </c>
      <c r="G24" s="52">
        <f t="shared" si="2"/>
        <v>10070417.01</v>
      </c>
      <c r="H24" s="52">
        <f t="shared" si="3"/>
        <v>1539216.379999999</v>
      </c>
      <c r="J24" s="87" t="s">
        <v>136</v>
      </c>
      <c r="K24" s="196"/>
      <c r="L24" s="117"/>
      <c r="M24" s="118">
        <v>16346.4</v>
      </c>
      <c r="N24" s="118">
        <v>850493.67</v>
      </c>
      <c r="O24" s="52">
        <v>211332.9</v>
      </c>
      <c r="P24" s="52">
        <v>677390.01</v>
      </c>
      <c r="Q24" s="52">
        <v>9865</v>
      </c>
      <c r="R24" s="52">
        <v>3468</v>
      </c>
      <c r="S24" s="52">
        <v>852494</v>
      </c>
      <c r="T24" s="52">
        <v>484636.19</v>
      </c>
      <c r="U24" s="52">
        <v>6077893.4000000004</v>
      </c>
      <c r="V24" s="52">
        <v>502370.95</v>
      </c>
      <c r="W24" s="52">
        <v>297538</v>
      </c>
      <c r="X24" s="52">
        <v>86588.49</v>
      </c>
    </row>
    <row r="25" spans="1:25" x14ac:dyDescent="0.25">
      <c r="A25" s="96" t="s">
        <v>284</v>
      </c>
      <c r="D25" s="96" t="s">
        <v>348</v>
      </c>
      <c r="E25" s="197">
        <v>10702990</v>
      </c>
      <c r="F25" s="52">
        <v>222937.18</v>
      </c>
      <c r="G25" s="52">
        <f t="shared" si="2"/>
        <v>0</v>
      </c>
      <c r="H25" s="52">
        <f t="shared" si="3"/>
        <v>222937.18</v>
      </c>
      <c r="I25" s="77" t="s">
        <v>220</v>
      </c>
      <c r="J25" s="87"/>
      <c r="K25" s="196"/>
      <c r="L25" s="117"/>
      <c r="M25" s="118"/>
      <c r="N25" s="118"/>
    </row>
    <row r="26" spans="1:25" ht="13.5" customHeight="1" x14ac:dyDescent="0.25">
      <c r="A26" s="96" t="s">
        <v>351</v>
      </c>
      <c r="D26" s="96" t="s">
        <v>352</v>
      </c>
      <c r="E26" s="197">
        <v>10702990</v>
      </c>
      <c r="F26" s="52">
        <v>269652.08999999997</v>
      </c>
      <c r="G26" s="52">
        <f t="shared" si="2"/>
        <v>0</v>
      </c>
      <c r="H26" s="52">
        <f t="shared" si="3"/>
        <v>269652.08999999997</v>
      </c>
      <c r="I26" s="86" t="s">
        <v>231</v>
      </c>
      <c r="J26" s="86"/>
      <c r="K26" s="196"/>
      <c r="L26" s="117"/>
      <c r="M26" s="119"/>
      <c r="N26" s="119"/>
    </row>
    <row r="27" spans="1:25" x14ac:dyDescent="0.25">
      <c r="A27" s="96" t="s">
        <v>349</v>
      </c>
      <c r="D27" s="96" t="s">
        <v>350</v>
      </c>
      <c r="E27" s="197">
        <v>10702990</v>
      </c>
      <c r="F27" s="52">
        <v>957729.0700000003</v>
      </c>
      <c r="G27" s="52">
        <f t="shared" si="2"/>
        <v>538661.13</v>
      </c>
      <c r="H27" s="52">
        <f t="shared" si="3"/>
        <v>419067.94000000029</v>
      </c>
      <c r="J27" s="87" t="s">
        <v>136</v>
      </c>
      <c r="K27" s="196"/>
      <c r="L27" s="117"/>
      <c r="M27" s="118"/>
      <c r="N27" s="118">
        <v>29632</v>
      </c>
      <c r="O27" s="52">
        <v>38283.279999999999</v>
      </c>
      <c r="S27" s="52">
        <f>133611.85+8493.75</f>
        <v>142105.60000000001</v>
      </c>
      <c r="T27" s="52">
        <v>101492.25</v>
      </c>
      <c r="U27" s="52">
        <v>126260</v>
      </c>
      <c r="V27" s="52">
        <v>60679</v>
      </c>
      <c r="X27" s="52">
        <v>40209</v>
      </c>
    </row>
    <row r="28" spans="1:25" x14ac:dyDescent="0.25">
      <c r="A28" s="96" t="s">
        <v>354</v>
      </c>
      <c r="D28" s="96" t="s">
        <v>355</v>
      </c>
      <c r="E28" s="197">
        <v>10702990</v>
      </c>
      <c r="F28" s="52">
        <v>251331.5</v>
      </c>
      <c r="G28" s="52">
        <f t="shared" si="2"/>
        <v>0</v>
      </c>
      <c r="H28" s="52">
        <f t="shared" si="3"/>
        <v>251331.5</v>
      </c>
      <c r="I28" s="201" t="s">
        <v>582</v>
      </c>
      <c r="K28" s="196"/>
      <c r="L28" s="117"/>
      <c r="M28" s="118"/>
      <c r="N28" s="118"/>
    </row>
    <row r="29" spans="1:25" x14ac:dyDescent="0.25">
      <c r="A29" s="96" t="s">
        <v>244</v>
      </c>
      <c r="D29" s="96" t="s">
        <v>356</v>
      </c>
      <c r="E29" s="197">
        <v>10702990</v>
      </c>
      <c r="F29" s="52">
        <v>1119692.77</v>
      </c>
      <c r="G29" s="52">
        <f t="shared" si="2"/>
        <v>667791.79</v>
      </c>
      <c r="H29" s="52">
        <f t="shared" si="3"/>
        <v>451900.98</v>
      </c>
      <c r="J29" s="87" t="s">
        <v>136</v>
      </c>
      <c r="K29" s="196"/>
      <c r="L29" s="117"/>
      <c r="M29" s="118"/>
      <c r="N29" s="118">
        <v>365628.29</v>
      </c>
      <c r="O29" s="52">
        <v>107145.12</v>
      </c>
      <c r="P29" s="52">
        <v>160294.82999999999</v>
      </c>
      <c r="Q29" s="52">
        <v>9211.5</v>
      </c>
      <c r="R29" s="52">
        <v>1890</v>
      </c>
      <c r="S29" s="52">
        <v>6224.38</v>
      </c>
      <c r="X29" s="52">
        <v>17397.669999999998</v>
      </c>
    </row>
    <row r="31" spans="1:25" x14ac:dyDescent="0.25">
      <c r="C31" s="96" t="s">
        <v>81</v>
      </c>
    </row>
    <row r="32" spans="1:25" x14ac:dyDescent="0.25">
      <c r="C32" s="113" t="s">
        <v>114</v>
      </c>
    </row>
    <row r="33" spans="1:21" x14ac:dyDescent="0.25">
      <c r="A33" s="96" t="s">
        <v>365</v>
      </c>
      <c r="D33" s="96" t="s">
        <v>370</v>
      </c>
      <c r="E33" s="197">
        <v>10704010</v>
      </c>
      <c r="F33" s="52">
        <f>205104-89832+30556.5</f>
        <v>145828.5</v>
      </c>
      <c r="G33" s="52">
        <f t="shared" ref="G33:G44" si="4">SUM(M33:X33)</f>
        <v>106498.5</v>
      </c>
      <c r="H33" s="52">
        <f t="shared" ref="H33:H44" si="5">F33-G33</f>
        <v>39330</v>
      </c>
      <c r="J33" s="87" t="s">
        <v>137</v>
      </c>
      <c r="K33" s="196"/>
      <c r="L33" s="117"/>
      <c r="M33" s="118"/>
      <c r="N33" s="118">
        <v>51558</v>
      </c>
      <c r="U33" s="52">
        <v>54940.5</v>
      </c>
    </row>
    <row r="34" spans="1:21" ht="26.25" x14ac:dyDescent="0.25">
      <c r="A34" s="96" t="s">
        <v>357</v>
      </c>
      <c r="D34" s="140" t="s">
        <v>515</v>
      </c>
      <c r="E34" s="197">
        <v>10704010</v>
      </c>
      <c r="F34" s="52">
        <v>1202389.55</v>
      </c>
      <c r="G34" s="52">
        <f t="shared" si="4"/>
        <v>941308.34</v>
      </c>
      <c r="H34" s="52">
        <f t="shared" si="5"/>
        <v>261081.21000000008</v>
      </c>
      <c r="I34" s="77" t="s">
        <v>617</v>
      </c>
      <c r="J34" s="87"/>
      <c r="K34" s="196"/>
      <c r="L34" s="117"/>
      <c r="M34" s="118">
        <v>349.8</v>
      </c>
      <c r="N34" s="118">
        <v>406626.35</v>
      </c>
      <c r="O34" s="52">
        <v>129392.3</v>
      </c>
      <c r="P34" s="52">
        <v>83500.13</v>
      </c>
      <c r="Q34" s="52">
        <v>46844.2</v>
      </c>
      <c r="R34" s="52">
        <v>23618.39</v>
      </c>
      <c r="S34" s="52">
        <v>249449.06</v>
      </c>
      <c r="T34" s="52">
        <v>1528.11</v>
      </c>
    </row>
    <row r="35" spans="1:21" x14ac:dyDescent="0.25">
      <c r="A35" s="96" t="s">
        <v>354</v>
      </c>
      <c r="D35" s="96" t="s">
        <v>495</v>
      </c>
      <c r="E35" s="197">
        <v>10704010</v>
      </c>
      <c r="F35" s="52">
        <v>249246.88</v>
      </c>
      <c r="G35" s="52">
        <f t="shared" si="4"/>
        <v>220092.94</v>
      </c>
      <c r="H35" s="52">
        <f t="shared" si="5"/>
        <v>29153.940000000002</v>
      </c>
      <c r="I35" s="77" t="s">
        <v>617</v>
      </c>
      <c r="J35" s="87"/>
      <c r="K35" s="196"/>
      <c r="L35" s="117"/>
      <c r="M35" s="118"/>
      <c r="N35" s="118">
        <v>47200</v>
      </c>
      <c r="O35" s="52">
        <v>112710</v>
      </c>
      <c r="P35" s="52">
        <v>5890.7</v>
      </c>
      <c r="Q35" s="52">
        <v>6000</v>
      </c>
      <c r="R35" s="52">
        <v>3076.24</v>
      </c>
      <c r="S35" s="52">
        <v>44301</v>
      </c>
      <c r="T35" s="52">
        <v>915</v>
      </c>
    </row>
    <row r="36" spans="1:21" x14ac:dyDescent="0.25">
      <c r="A36" s="96" t="s">
        <v>358</v>
      </c>
      <c r="D36" s="96" t="s">
        <v>359</v>
      </c>
      <c r="E36" s="197">
        <v>10704010</v>
      </c>
      <c r="F36" s="52">
        <v>1336723.07</v>
      </c>
      <c r="G36" s="52">
        <f t="shared" si="4"/>
        <v>0</v>
      </c>
      <c r="H36" s="52">
        <f t="shared" si="5"/>
        <v>1336723.07</v>
      </c>
      <c r="I36" s="201" t="s">
        <v>652</v>
      </c>
      <c r="K36" s="196"/>
      <c r="L36" s="117"/>
      <c r="M36" s="118"/>
      <c r="N36" s="118"/>
    </row>
    <row r="37" spans="1:21" x14ac:dyDescent="0.25">
      <c r="D37" s="96" t="s">
        <v>555</v>
      </c>
      <c r="E37" s="197">
        <v>10704010</v>
      </c>
      <c r="F37" s="52">
        <v>275000</v>
      </c>
      <c r="G37" s="52">
        <f t="shared" ref="G37" si="6">SUM(M37:X37)</f>
        <v>198964</v>
      </c>
      <c r="H37" s="52">
        <f t="shared" ref="H37" si="7">F37-G37</f>
        <v>76036</v>
      </c>
      <c r="I37" s="77" t="s">
        <v>617</v>
      </c>
      <c r="J37" s="87"/>
      <c r="K37" s="196"/>
      <c r="L37" s="117" t="s">
        <v>567</v>
      </c>
      <c r="M37" s="118"/>
      <c r="N37" s="118"/>
      <c r="Q37" s="52">
        <v>124840</v>
      </c>
      <c r="S37" s="52">
        <v>74124</v>
      </c>
    </row>
    <row r="38" spans="1:21" x14ac:dyDescent="0.25">
      <c r="A38" s="96" t="s">
        <v>354</v>
      </c>
      <c r="D38" s="96" t="s">
        <v>369</v>
      </c>
      <c r="E38" s="197">
        <v>10704010</v>
      </c>
      <c r="F38" s="52">
        <v>169965</v>
      </c>
      <c r="G38" s="52">
        <f t="shared" si="4"/>
        <v>136813.16999999998</v>
      </c>
      <c r="H38" s="52">
        <f t="shared" si="5"/>
        <v>33151.830000000016</v>
      </c>
      <c r="I38" s="77" t="s">
        <v>615</v>
      </c>
      <c r="J38" s="87"/>
      <c r="K38" s="196"/>
      <c r="L38" s="117"/>
      <c r="M38" s="118"/>
      <c r="N38" s="118"/>
      <c r="O38" s="52">
        <v>83570.87</v>
      </c>
      <c r="P38" s="52">
        <v>17476.3</v>
      </c>
      <c r="S38" s="52">
        <v>35766</v>
      </c>
    </row>
    <row r="39" spans="1:21" x14ac:dyDescent="0.25">
      <c r="A39" s="96" t="s">
        <v>363</v>
      </c>
      <c r="D39" s="96" t="s">
        <v>364</v>
      </c>
      <c r="E39" s="197">
        <v>10704010</v>
      </c>
      <c r="F39" s="52">
        <v>937884.36</v>
      </c>
      <c r="G39" s="52">
        <f t="shared" si="4"/>
        <v>771566.67</v>
      </c>
      <c r="H39" s="52">
        <f t="shared" si="5"/>
        <v>166317.68999999994</v>
      </c>
      <c r="I39" s="77" t="s">
        <v>615</v>
      </c>
      <c r="J39" s="87"/>
      <c r="K39" s="196"/>
      <c r="L39" s="117"/>
      <c r="M39" s="118"/>
      <c r="N39" s="118">
        <v>551944.88</v>
      </c>
      <c r="P39" s="52">
        <v>8288.27</v>
      </c>
      <c r="Q39" s="52">
        <v>49766.93</v>
      </c>
      <c r="R39" s="52">
        <v>646.95000000000005</v>
      </c>
      <c r="S39" s="52">
        <v>145062.1</v>
      </c>
      <c r="T39" s="52">
        <v>11727</v>
      </c>
      <c r="U39" s="52">
        <v>4130.54</v>
      </c>
    </row>
    <row r="40" spans="1:21" x14ac:dyDescent="0.25">
      <c r="A40" s="96" t="s">
        <v>354</v>
      </c>
      <c r="D40" s="96" t="s">
        <v>368</v>
      </c>
      <c r="E40" s="197">
        <v>10704010</v>
      </c>
      <c r="F40" s="52">
        <f>302843.65+54315</f>
        <v>357158.65</v>
      </c>
      <c r="G40" s="52">
        <f t="shared" si="4"/>
        <v>284590.07</v>
      </c>
      <c r="H40" s="52">
        <f t="shared" si="5"/>
        <v>72568.580000000016</v>
      </c>
      <c r="I40" s="77" t="s">
        <v>615</v>
      </c>
      <c r="J40" s="87"/>
      <c r="K40" s="196"/>
      <c r="L40" s="117" t="s">
        <v>563</v>
      </c>
      <c r="M40" s="118"/>
      <c r="N40" s="118"/>
      <c r="O40" s="52">
        <v>177447.47</v>
      </c>
      <c r="P40" s="52">
        <v>39626.9</v>
      </c>
      <c r="Q40" s="52">
        <v>16980</v>
      </c>
      <c r="R40" s="52">
        <v>2039.1</v>
      </c>
      <c r="S40" s="52">
        <v>45871.6</v>
      </c>
      <c r="T40" s="52">
        <v>2625</v>
      </c>
    </row>
    <row r="41" spans="1:21" x14ac:dyDescent="0.25">
      <c r="A41" s="96" t="s">
        <v>366</v>
      </c>
      <c r="D41" s="96" t="s">
        <v>367</v>
      </c>
      <c r="E41" s="197">
        <v>10704010</v>
      </c>
      <c r="F41" s="52">
        <v>544583.87999999989</v>
      </c>
      <c r="G41" s="52">
        <f t="shared" si="4"/>
        <v>276932.47999999998</v>
      </c>
      <c r="H41" s="52">
        <f t="shared" si="5"/>
        <v>267651.39999999991</v>
      </c>
      <c r="I41" s="80" t="s">
        <v>653</v>
      </c>
      <c r="K41" s="196"/>
      <c r="L41" s="117"/>
      <c r="M41" s="118"/>
      <c r="N41" s="118">
        <v>140234.65</v>
      </c>
      <c r="O41" s="52">
        <v>39593.230000000003</v>
      </c>
      <c r="Q41" s="52">
        <v>31140</v>
      </c>
      <c r="S41" s="52">
        <v>65964.600000000006</v>
      </c>
    </row>
    <row r="42" spans="1:21" x14ac:dyDescent="0.25">
      <c r="A42" s="96" t="s">
        <v>360</v>
      </c>
      <c r="D42" s="96" t="s">
        <v>361</v>
      </c>
      <c r="E42" s="197">
        <v>10704010</v>
      </c>
      <c r="F42" s="52">
        <v>601848.23999999976</v>
      </c>
      <c r="G42" s="52">
        <f t="shared" si="4"/>
        <v>414673.04</v>
      </c>
      <c r="H42" s="52">
        <f t="shared" si="5"/>
        <v>187175.19999999978</v>
      </c>
      <c r="I42" s="77" t="s">
        <v>617</v>
      </c>
      <c r="J42" s="87"/>
      <c r="K42" s="196"/>
      <c r="L42" s="117"/>
      <c r="M42" s="118">
        <v>25632.86</v>
      </c>
      <c r="N42" s="118">
        <v>144052.42000000001</v>
      </c>
      <c r="O42" s="52">
        <v>21934</v>
      </c>
      <c r="P42" s="52">
        <v>45076.959999999999</v>
      </c>
      <c r="Q42" s="52">
        <v>38990</v>
      </c>
      <c r="S42" s="52">
        <v>138986.79999999999</v>
      </c>
    </row>
    <row r="43" spans="1:21" x14ac:dyDescent="0.25">
      <c r="A43" s="96" t="s">
        <v>360</v>
      </c>
      <c r="D43" s="96" t="s">
        <v>362</v>
      </c>
      <c r="E43" s="197">
        <v>10704010</v>
      </c>
      <c r="F43" s="52">
        <v>1103912.5800000003</v>
      </c>
      <c r="G43" s="52">
        <f t="shared" si="4"/>
        <v>502963.4</v>
      </c>
      <c r="H43" s="52">
        <f t="shared" si="5"/>
        <v>600949.18000000028</v>
      </c>
      <c r="I43" s="77" t="s">
        <v>619</v>
      </c>
      <c r="J43" s="87"/>
      <c r="K43" s="196"/>
      <c r="L43" s="117"/>
      <c r="M43" s="118"/>
      <c r="N43" s="118">
        <v>8128</v>
      </c>
      <c r="P43" s="52">
        <v>113700</v>
      </c>
      <c r="Q43" s="52">
        <v>148998</v>
      </c>
      <c r="R43" s="52">
        <v>5377</v>
      </c>
      <c r="S43" s="52">
        <v>226760.4</v>
      </c>
    </row>
    <row r="44" spans="1:21" x14ac:dyDescent="0.25">
      <c r="A44" s="96" t="s">
        <v>289</v>
      </c>
      <c r="D44" s="96" t="s">
        <v>356</v>
      </c>
      <c r="E44" s="197">
        <v>10704010</v>
      </c>
      <c r="F44" s="52">
        <v>568459.5</v>
      </c>
      <c r="G44" s="52">
        <f t="shared" si="4"/>
        <v>262169.89</v>
      </c>
      <c r="H44" s="52">
        <f t="shared" si="5"/>
        <v>306289.61</v>
      </c>
      <c r="J44" s="87" t="s">
        <v>136</v>
      </c>
      <c r="K44" s="196"/>
      <c r="L44" s="117"/>
      <c r="M44" s="118"/>
      <c r="N44" s="118">
        <v>34726.39</v>
      </c>
      <c r="O44" s="52">
        <v>63334.28</v>
      </c>
      <c r="P44" s="52">
        <v>62423.22</v>
      </c>
      <c r="Q44" s="52">
        <v>40514</v>
      </c>
      <c r="R44" s="52">
        <v>2032</v>
      </c>
      <c r="S44" s="52">
        <v>59140</v>
      </c>
    </row>
    <row r="46" spans="1:21" x14ac:dyDescent="0.25">
      <c r="A46" s="108" t="s">
        <v>119</v>
      </c>
      <c r="B46" s="108" t="s">
        <v>133</v>
      </c>
      <c r="C46" s="108"/>
      <c r="D46" s="108"/>
      <c r="E46" s="81">
        <v>1021</v>
      </c>
      <c r="F46" s="109">
        <f>SUM(F48:F54)</f>
        <v>5260379.7200000007</v>
      </c>
      <c r="G46" s="109">
        <f t="shared" ref="G46:H46" si="8">SUM(G48:G54)</f>
        <v>4451356.8100000005</v>
      </c>
      <c r="H46" s="109">
        <f t="shared" si="8"/>
        <v>809022.91000000108</v>
      </c>
    </row>
    <row r="47" spans="1:21" x14ac:dyDescent="0.25">
      <c r="A47" s="108"/>
      <c r="B47" s="108"/>
      <c r="C47" s="96" t="s">
        <v>81</v>
      </c>
      <c r="D47" s="108"/>
      <c r="F47" s="115"/>
      <c r="G47" s="115"/>
      <c r="H47" s="115"/>
    </row>
    <row r="48" spans="1:21" ht="13.5" customHeight="1" x14ac:dyDescent="0.25">
      <c r="A48" s="96" t="s">
        <v>371</v>
      </c>
      <c r="B48" s="108"/>
      <c r="D48" s="96" t="s">
        <v>372</v>
      </c>
      <c r="E48" s="197">
        <v>10704010</v>
      </c>
      <c r="F48" s="120">
        <v>762148.46000000089</v>
      </c>
      <c r="G48" s="52">
        <f t="shared" ref="G48:G49" si="9">SUM(M48:X48)</f>
        <v>0</v>
      </c>
      <c r="H48" s="52">
        <f>F48-G48</f>
        <v>762148.46000000089</v>
      </c>
      <c r="I48" s="212" t="s">
        <v>227</v>
      </c>
      <c r="J48" s="212"/>
      <c r="K48" s="196"/>
      <c r="L48" s="117"/>
      <c r="M48" s="121"/>
      <c r="N48" s="121"/>
    </row>
    <row r="49" spans="1:25" x14ac:dyDescent="0.25">
      <c r="A49" s="96" t="s">
        <v>373</v>
      </c>
      <c r="D49" s="96" t="s">
        <v>374</v>
      </c>
      <c r="E49" s="197">
        <v>10704010</v>
      </c>
      <c r="F49" s="52">
        <f>37053-30556.5</f>
        <v>6496.5</v>
      </c>
      <c r="G49" s="52">
        <f t="shared" si="9"/>
        <v>0</v>
      </c>
      <c r="H49" s="52">
        <f>F49-G49</f>
        <v>6496.5</v>
      </c>
      <c r="J49" s="87" t="s">
        <v>137</v>
      </c>
      <c r="K49" s="196"/>
      <c r="L49" s="117"/>
      <c r="M49" s="118"/>
      <c r="N49" s="118"/>
    </row>
    <row r="50" spans="1:25" x14ac:dyDescent="0.25">
      <c r="C50" s="96" t="s">
        <v>145</v>
      </c>
      <c r="J50" s="87"/>
      <c r="K50" s="196"/>
      <c r="L50" s="117"/>
      <c r="M50" s="118"/>
      <c r="N50" s="118"/>
    </row>
    <row r="51" spans="1:25" x14ac:dyDescent="0.25">
      <c r="A51" s="96" t="s">
        <v>377</v>
      </c>
      <c r="D51" s="96" t="s">
        <v>378</v>
      </c>
      <c r="E51" s="197">
        <v>10707010</v>
      </c>
      <c r="F51" s="52">
        <v>95350.5</v>
      </c>
      <c r="G51" s="52">
        <f t="shared" ref="G51:G54" si="10">SUM(M51:X51)</f>
        <v>61816.5</v>
      </c>
      <c r="H51" s="52">
        <f>F51-G51</f>
        <v>33534</v>
      </c>
      <c r="J51" s="87" t="s">
        <v>137</v>
      </c>
      <c r="K51" s="196"/>
      <c r="L51" s="117"/>
      <c r="M51" s="118"/>
      <c r="N51" s="118"/>
      <c r="Q51" s="52">
        <v>61816.5</v>
      </c>
    </row>
    <row r="52" spans="1:25" ht="41.25" customHeight="1" x14ac:dyDescent="0.25">
      <c r="A52" s="96" t="s">
        <v>375</v>
      </c>
      <c r="D52" s="135" t="s">
        <v>376</v>
      </c>
      <c r="E52" s="173">
        <v>10707010</v>
      </c>
      <c r="F52" s="174">
        <f>4396384.26-3862743.95</f>
        <v>533640.30999999959</v>
      </c>
      <c r="G52" s="174">
        <f t="shared" si="10"/>
        <v>533640.31000000006</v>
      </c>
      <c r="H52" s="174">
        <f>F52-G52</f>
        <v>0</v>
      </c>
      <c r="I52" s="219" t="s">
        <v>621</v>
      </c>
      <c r="J52" s="219"/>
      <c r="K52" s="196"/>
      <c r="L52" s="117"/>
      <c r="M52" s="118"/>
      <c r="N52" s="118"/>
      <c r="R52" s="52">
        <v>533640.31000000006</v>
      </c>
    </row>
    <row r="53" spans="1:25" x14ac:dyDescent="0.25">
      <c r="C53" s="135" t="s">
        <v>84</v>
      </c>
      <c r="D53" s="135"/>
      <c r="E53" s="173"/>
      <c r="F53" s="174"/>
      <c r="G53" s="174"/>
      <c r="H53" s="174"/>
      <c r="I53" s="196"/>
      <c r="J53" s="196"/>
      <c r="K53" s="196"/>
      <c r="L53" s="117"/>
      <c r="M53" s="118"/>
      <c r="N53" s="118"/>
    </row>
    <row r="54" spans="1:25" x14ac:dyDescent="0.25">
      <c r="D54" s="135" t="s">
        <v>84</v>
      </c>
      <c r="E54" s="173">
        <v>10705030</v>
      </c>
      <c r="F54" s="174">
        <v>3862743.95</v>
      </c>
      <c r="G54" s="174">
        <f t="shared" si="10"/>
        <v>3855900</v>
      </c>
      <c r="H54" s="174">
        <f>F54-G54</f>
        <v>6843.9500000001863</v>
      </c>
      <c r="I54" s="219" t="s">
        <v>621</v>
      </c>
      <c r="J54" s="219"/>
      <c r="K54" s="196"/>
      <c r="L54" s="117"/>
      <c r="M54" s="118"/>
      <c r="N54" s="118"/>
      <c r="V54" s="52">
        <v>3855900</v>
      </c>
    </row>
    <row r="55" spans="1:25" x14ac:dyDescent="0.25">
      <c r="D55" s="135"/>
      <c r="E55" s="173"/>
      <c r="F55" s="174"/>
      <c r="G55" s="174"/>
      <c r="H55" s="174"/>
      <c r="I55" s="196"/>
      <c r="J55" s="196"/>
      <c r="K55" s="196"/>
      <c r="L55" s="117"/>
      <c r="M55" s="118"/>
      <c r="N55" s="118"/>
    </row>
    <row r="56" spans="1:25" s="108" customFormat="1" x14ac:dyDescent="0.25">
      <c r="A56" s="108" t="s">
        <v>647</v>
      </c>
      <c r="E56" s="81" t="s">
        <v>0</v>
      </c>
      <c r="F56" s="109">
        <f>+F58</f>
        <v>800000</v>
      </c>
      <c r="G56" s="109">
        <f t="shared" ref="G56:H56" si="11">+G58</f>
        <v>0</v>
      </c>
      <c r="H56" s="109">
        <f t="shared" si="11"/>
        <v>800000</v>
      </c>
      <c r="I56" s="85"/>
      <c r="J56" s="85"/>
      <c r="K56" s="143"/>
      <c r="L56" s="111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</row>
    <row r="57" spans="1:25" x14ac:dyDescent="0.25">
      <c r="D57" s="135"/>
      <c r="E57" s="173"/>
      <c r="F57" s="174"/>
      <c r="G57" s="174"/>
      <c r="H57" s="174"/>
      <c r="I57" s="196"/>
      <c r="J57" s="196"/>
      <c r="K57" s="196"/>
      <c r="L57" s="117"/>
      <c r="M57" s="118"/>
      <c r="N57" s="118"/>
    </row>
    <row r="58" spans="1:25" x14ac:dyDescent="0.25">
      <c r="B58" s="108" t="s">
        <v>632</v>
      </c>
      <c r="D58" s="135"/>
      <c r="E58" s="180">
        <v>8751</v>
      </c>
      <c r="F58" s="181">
        <f>SUM(F60:F66)</f>
        <v>800000</v>
      </c>
      <c r="G58" s="181">
        <f t="shared" ref="G58" si="12">SUM(G60:G66)</f>
        <v>0</v>
      </c>
      <c r="H58" s="181">
        <f>SUM(H60:H66)</f>
        <v>800000</v>
      </c>
      <c r="I58" s="196"/>
      <c r="J58" s="196"/>
      <c r="K58" s="196"/>
      <c r="L58" s="117"/>
      <c r="M58" s="118"/>
      <c r="N58" s="118"/>
    </row>
    <row r="59" spans="1:25" x14ac:dyDescent="0.25">
      <c r="C59" s="114" t="s">
        <v>483</v>
      </c>
      <c r="I59" s="86"/>
    </row>
    <row r="60" spans="1:25" x14ac:dyDescent="0.25">
      <c r="A60" s="96" t="s">
        <v>377</v>
      </c>
      <c r="D60" s="96" t="s">
        <v>484</v>
      </c>
      <c r="E60" s="197">
        <v>10705080</v>
      </c>
      <c r="F60" s="52">
        <v>100000</v>
      </c>
      <c r="G60" s="52">
        <f t="shared" ref="G60:G66" si="13">SUM(M60:X60)</f>
        <v>0</v>
      </c>
      <c r="H60" s="52">
        <f t="shared" ref="H60:H66" si="14">F60-G60</f>
        <v>100000</v>
      </c>
      <c r="J60" s="87" t="s">
        <v>136</v>
      </c>
      <c r="K60" s="196"/>
      <c r="L60" s="117"/>
      <c r="M60" s="118"/>
      <c r="N60" s="118"/>
    </row>
    <row r="61" spans="1:25" x14ac:dyDescent="0.25">
      <c r="A61" s="96" t="s">
        <v>382</v>
      </c>
      <c r="D61" s="96" t="s">
        <v>441</v>
      </c>
      <c r="E61" s="197">
        <v>10705080</v>
      </c>
      <c r="F61" s="52">
        <v>280000</v>
      </c>
      <c r="G61" s="52">
        <f t="shared" si="13"/>
        <v>0</v>
      </c>
      <c r="H61" s="52">
        <f t="shared" si="14"/>
        <v>280000</v>
      </c>
      <c r="J61" s="87" t="s">
        <v>136</v>
      </c>
      <c r="K61" s="196"/>
      <c r="L61" s="117"/>
      <c r="M61" s="118"/>
      <c r="N61" s="118"/>
    </row>
    <row r="62" spans="1:25" x14ac:dyDescent="0.25">
      <c r="A62" s="96" t="s">
        <v>400</v>
      </c>
      <c r="D62" s="96" t="s">
        <v>485</v>
      </c>
      <c r="E62" s="197">
        <v>10705080</v>
      </c>
      <c r="F62" s="52">
        <v>40000</v>
      </c>
      <c r="G62" s="52">
        <f t="shared" si="13"/>
        <v>0</v>
      </c>
      <c r="H62" s="52">
        <f t="shared" si="14"/>
        <v>40000</v>
      </c>
      <c r="J62" s="87" t="s">
        <v>136</v>
      </c>
      <c r="K62" s="196"/>
      <c r="L62" s="117"/>
      <c r="M62" s="118"/>
      <c r="N62" s="118"/>
    </row>
    <row r="63" spans="1:25" x14ac:dyDescent="0.25">
      <c r="A63" s="96" t="s">
        <v>363</v>
      </c>
      <c r="D63" s="96" t="s">
        <v>442</v>
      </c>
      <c r="E63" s="197">
        <v>10705080</v>
      </c>
      <c r="F63" s="52">
        <v>80000</v>
      </c>
      <c r="G63" s="52">
        <f t="shared" si="13"/>
        <v>0</v>
      </c>
      <c r="H63" s="52">
        <f t="shared" si="14"/>
        <v>80000</v>
      </c>
      <c r="J63" s="87" t="s">
        <v>136</v>
      </c>
      <c r="K63" s="196"/>
      <c r="L63" s="117"/>
      <c r="M63" s="118"/>
      <c r="N63" s="118"/>
    </row>
    <row r="64" spans="1:25" x14ac:dyDescent="0.25">
      <c r="A64" s="96" t="s">
        <v>443</v>
      </c>
      <c r="D64" s="96" t="s">
        <v>444</v>
      </c>
      <c r="E64" s="197">
        <v>10705080</v>
      </c>
      <c r="F64" s="52">
        <v>60000</v>
      </c>
      <c r="G64" s="52">
        <f t="shared" si="13"/>
        <v>0</v>
      </c>
      <c r="H64" s="52">
        <f t="shared" si="14"/>
        <v>60000</v>
      </c>
      <c r="J64" s="87" t="s">
        <v>136</v>
      </c>
      <c r="K64" s="196"/>
      <c r="L64" s="117"/>
      <c r="M64" s="118"/>
      <c r="N64" s="118"/>
    </row>
    <row r="65" spans="1:25" x14ac:dyDescent="0.25">
      <c r="A65" s="96" t="s">
        <v>443</v>
      </c>
      <c r="D65" s="96" t="s">
        <v>445</v>
      </c>
      <c r="E65" s="197">
        <v>10705080</v>
      </c>
      <c r="F65" s="52">
        <v>40000</v>
      </c>
      <c r="G65" s="52">
        <f t="shared" si="13"/>
        <v>0</v>
      </c>
      <c r="H65" s="52">
        <f t="shared" si="14"/>
        <v>40000</v>
      </c>
      <c r="J65" s="87" t="s">
        <v>136</v>
      </c>
      <c r="K65" s="196"/>
      <c r="L65" s="117"/>
      <c r="M65" s="118"/>
      <c r="N65" s="118"/>
    </row>
    <row r="66" spans="1:25" x14ac:dyDescent="0.25">
      <c r="A66" s="96" t="s">
        <v>446</v>
      </c>
      <c r="D66" s="96" t="s">
        <v>486</v>
      </c>
      <c r="E66" s="197">
        <v>10705080</v>
      </c>
      <c r="F66" s="52">
        <v>200000</v>
      </c>
      <c r="G66" s="52">
        <f t="shared" si="13"/>
        <v>0</v>
      </c>
      <c r="H66" s="52">
        <f t="shared" si="14"/>
        <v>200000</v>
      </c>
      <c r="J66" s="87" t="s">
        <v>136</v>
      </c>
      <c r="K66" s="196"/>
      <c r="L66" s="117"/>
      <c r="M66" s="118"/>
      <c r="N66" s="118"/>
    </row>
    <row r="67" spans="1:25" x14ac:dyDescent="0.25">
      <c r="D67" s="135"/>
      <c r="E67" s="173"/>
      <c r="F67" s="174"/>
      <c r="G67" s="174"/>
      <c r="H67" s="174"/>
      <c r="I67" s="196"/>
      <c r="J67" s="196"/>
      <c r="K67" s="196"/>
      <c r="L67" s="117"/>
      <c r="M67" s="118"/>
      <c r="N67" s="118"/>
    </row>
    <row r="68" spans="1:25" x14ac:dyDescent="0.25">
      <c r="C68" s="122" t="s">
        <v>116</v>
      </c>
      <c r="F68" s="123">
        <f>+F20+F46+F58</f>
        <v>28156387.93</v>
      </c>
      <c r="G68" s="123">
        <f>+G20+G46+G58</f>
        <v>19973901.240000002</v>
      </c>
      <c r="H68" s="123">
        <f>+H20+H46+H58</f>
        <v>8182486.6900000013</v>
      </c>
    </row>
    <row r="69" spans="1:25" x14ac:dyDescent="0.25">
      <c r="D69" s="135"/>
      <c r="E69" s="173"/>
      <c r="F69" s="174"/>
      <c r="G69" s="174"/>
      <c r="H69" s="174"/>
      <c r="I69" s="196"/>
      <c r="J69" s="196"/>
      <c r="K69" s="196"/>
      <c r="L69" s="117"/>
      <c r="M69" s="118"/>
      <c r="N69" s="118"/>
    </row>
    <row r="70" spans="1:25" s="108" customFormat="1" x14ac:dyDescent="0.25">
      <c r="A70" s="108" t="s">
        <v>660</v>
      </c>
      <c r="E70" s="81" t="s">
        <v>0</v>
      </c>
      <c r="F70" s="109">
        <f>F72+F119+F122+F109+F112+F129+F134</f>
        <v>74083223.510000005</v>
      </c>
      <c r="G70" s="109">
        <f t="shared" ref="G70:H70" si="15">G72+G119+G122+G109+G112+G129+G134</f>
        <v>55554322.370000005</v>
      </c>
      <c r="H70" s="109">
        <f t="shared" si="15"/>
        <v>18528901.139999997</v>
      </c>
      <c r="I70" s="85"/>
      <c r="J70" s="85"/>
      <c r="K70" s="143"/>
      <c r="L70" s="111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</row>
    <row r="71" spans="1:25" ht="12" customHeight="1" x14ac:dyDescent="0.25"/>
    <row r="72" spans="1:25" x14ac:dyDescent="0.25">
      <c r="A72" s="108" t="s">
        <v>119</v>
      </c>
      <c r="B72" s="108" t="s">
        <v>633</v>
      </c>
      <c r="C72" s="108"/>
      <c r="D72" s="108"/>
      <c r="E72" s="81">
        <v>1011</v>
      </c>
      <c r="F72" s="109">
        <f>SUM(F74:F107)</f>
        <v>20687883.470000003</v>
      </c>
      <c r="G72" s="109">
        <f>SUM(G74:G107)</f>
        <v>16531247.08</v>
      </c>
      <c r="H72" s="109">
        <f>SUM(H74:H107)</f>
        <v>4156636.3900000006</v>
      </c>
    </row>
    <row r="73" spans="1:25" x14ac:dyDescent="0.25">
      <c r="A73" s="108"/>
      <c r="B73" s="108"/>
      <c r="C73" s="96" t="s">
        <v>242</v>
      </c>
      <c r="E73" s="81"/>
      <c r="F73" s="115"/>
      <c r="G73" s="115"/>
      <c r="H73" s="115"/>
    </row>
    <row r="74" spans="1:25" x14ac:dyDescent="0.25">
      <c r="A74" s="108"/>
      <c r="B74" s="108"/>
      <c r="C74" s="108"/>
      <c r="D74" s="96" t="s">
        <v>243</v>
      </c>
      <c r="E74" s="197">
        <v>10703040</v>
      </c>
      <c r="F74" s="120">
        <v>3163167.71</v>
      </c>
      <c r="G74" s="52">
        <f t="shared" ref="G74:G76" si="16">SUM(M74:X74)</f>
        <v>3112613.82</v>
      </c>
      <c r="H74" s="52">
        <f>F74-G74</f>
        <v>50553.89000000013</v>
      </c>
      <c r="J74" s="87" t="s">
        <v>247</v>
      </c>
      <c r="K74" s="196"/>
      <c r="L74" s="117"/>
      <c r="M74" s="118"/>
      <c r="N74" s="118"/>
      <c r="R74" s="52">
        <v>3112613.82</v>
      </c>
    </row>
    <row r="75" spans="1:25" x14ac:dyDescent="0.25">
      <c r="A75" s="108"/>
      <c r="B75" s="108"/>
      <c r="C75" s="108"/>
      <c r="D75" s="96" t="s">
        <v>246</v>
      </c>
      <c r="E75" s="197">
        <v>10703040</v>
      </c>
      <c r="F75" s="120">
        <v>683439.99</v>
      </c>
      <c r="G75" s="52">
        <f t="shared" si="16"/>
        <v>630566.52</v>
      </c>
      <c r="H75" s="52">
        <f>F75-G75</f>
        <v>52873.469999999972</v>
      </c>
      <c r="J75" s="87" t="s">
        <v>247</v>
      </c>
      <c r="K75" s="196"/>
      <c r="L75" s="117"/>
      <c r="M75" s="118"/>
      <c r="N75" s="118"/>
      <c r="S75" s="52">
        <v>656428.63</v>
      </c>
      <c r="T75" s="52">
        <v>-25862.11</v>
      </c>
    </row>
    <row r="76" spans="1:25" x14ac:dyDescent="0.25">
      <c r="A76" s="108"/>
      <c r="B76" s="108"/>
      <c r="C76" s="108"/>
      <c r="D76" s="96" t="s">
        <v>245</v>
      </c>
      <c r="E76" s="197">
        <v>10703040</v>
      </c>
      <c r="F76" s="120">
        <v>141552.32000000001</v>
      </c>
      <c r="G76" s="52">
        <f t="shared" si="16"/>
        <v>118540</v>
      </c>
      <c r="H76" s="52">
        <f>F76-G76</f>
        <v>23012.320000000007</v>
      </c>
      <c r="J76" s="87" t="s">
        <v>247</v>
      </c>
      <c r="K76" s="196"/>
      <c r="L76" s="117"/>
      <c r="M76" s="118"/>
      <c r="N76" s="118">
        <v>22640</v>
      </c>
      <c r="W76" s="52">
        <v>68146</v>
      </c>
      <c r="X76" s="52">
        <v>27754</v>
      </c>
    </row>
    <row r="77" spans="1:25" x14ac:dyDescent="0.25">
      <c r="A77" s="108"/>
      <c r="B77" s="108"/>
      <c r="C77" s="108"/>
      <c r="D77" s="108"/>
      <c r="E77" s="81"/>
      <c r="F77" s="115"/>
      <c r="G77" s="115"/>
      <c r="H77" s="115"/>
    </row>
    <row r="78" spans="1:25" x14ac:dyDescent="0.25">
      <c r="C78" s="96" t="s">
        <v>81</v>
      </c>
    </row>
    <row r="79" spans="1:25" x14ac:dyDescent="0.25">
      <c r="A79" s="96" t="s">
        <v>380</v>
      </c>
      <c r="D79" s="96" t="s">
        <v>381</v>
      </c>
      <c r="E79" s="197">
        <v>10704010</v>
      </c>
      <c r="F79" s="52">
        <v>6023100</v>
      </c>
      <c r="G79" s="52">
        <f t="shared" ref="G79:G90" si="17">SUM(M79:X79)</f>
        <v>5747790.2999999998</v>
      </c>
      <c r="H79" s="52">
        <f t="shared" ref="H79:H90" si="18">F79-G79</f>
        <v>275309.70000000019</v>
      </c>
      <c r="I79" s="201" t="s">
        <v>585</v>
      </c>
      <c r="K79" s="196"/>
      <c r="L79" s="117"/>
      <c r="M79" s="118">
        <v>5747790.2999999998</v>
      </c>
      <c r="N79" s="118"/>
    </row>
    <row r="80" spans="1:25" x14ac:dyDescent="0.25">
      <c r="D80" s="96" t="s">
        <v>254</v>
      </c>
      <c r="E80" s="197">
        <v>10704010</v>
      </c>
      <c r="F80" s="52">
        <v>3482602.69</v>
      </c>
      <c r="G80" s="52">
        <f t="shared" si="17"/>
        <v>3178767.13</v>
      </c>
      <c r="H80" s="52">
        <f t="shared" si="18"/>
        <v>303835.56000000006</v>
      </c>
      <c r="I80" s="86"/>
      <c r="J80" s="87" t="s">
        <v>247</v>
      </c>
      <c r="K80" s="196"/>
      <c r="L80" s="117"/>
      <c r="M80" s="118"/>
      <c r="N80" s="118"/>
      <c r="P80" s="52">
        <v>30147.75</v>
      </c>
      <c r="Q80" s="52">
        <v>3074443.38</v>
      </c>
      <c r="X80" s="52">
        <v>74176</v>
      </c>
    </row>
    <row r="81" spans="1:24" x14ac:dyDescent="0.25">
      <c r="D81" s="96" t="s">
        <v>253</v>
      </c>
      <c r="E81" s="197">
        <v>10704010</v>
      </c>
      <c r="F81" s="52">
        <v>3000000</v>
      </c>
      <c r="G81" s="52">
        <f t="shared" si="17"/>
        <v>3000000</v>
      </c>
      <c r="H81" s="52">
        <f t="shared" si="18"/>
        <v>0</v>
      </c>
      <c r="I81" s="86"/>
      <c r="J81" s="87" t="s">
        <v>247</v>
      </c>
      <c r="K81" s="196"/>
      <c r="L81" s="117"/>
      <c r="M81" s="118"/>
      <c r="N81" s="118"/>
      <c r="Q81" s="52">
        <v>3000000</v>
      </c>
    </row>
    <row r="82" spans="1:24" x14ac:dyDescent="0.25">
      <c r="A82" s="96" t="s">
        <v>363</v>
      </c>
      <c r="D82" s="96" t="s">
        <v>498</v>
      </c>
      <c r="E82" s="197">
        <v>10704010</v>
      </c>
      <c r="F82" s="52">
        <v>152161.57999999996</v>
      </c>
      <c r="G82" s="52">
        <f t="shared" si="17"/>
        <v>0</v>
      </c>
      <c r="H82" s="52">
        <f t="shared" si="18"/>
        <v>152161.57999999996</v>
      </c>
      <c r="I82" s="86" t="s">
        <v>500</v>
      </c>
    </row>
    <row r="83" spans="1:24" x14ac:dyDescent="0.25">
      <c r="A83" s="96" t="s">
        <v>382</v>
      </c>
      <c r="D83" s="96" t="s">
        <v>496</v>
      </c>
      <c r="E83" s="197">
        <v>10704010</v>
      </c>
      <c r="F83" s="52">
        <v>59409.72</v>
      </c>
      <c r="G83" s="52">
        <f t="shared" si="17"/>
        <v>0</v>
      </c>
      <c r="H83" s="52">
        <f t="shared" si="18"/>
        <v>59409.72</v>
      </c>
      <c r="I83" s="86" t="s">
        <v>616</v>
      </c>
    </row>
    <row r="84" spans="1:24" x14ac:dyDescent="0.25">
      <c r="A84" s="96" t="s">
        <v>382</v>
      </c>
      <c r="D84" s="96" t="s">
        <v>497</v>
      </c>
      <c r="E84" s="197">
        <v>10704010</v>
      </c>
      <c r="F84" s="52">
        <v>417959.15</v>
      </c>
      <c r="G84" s="52">
        <f t="shared" si="17"/>
        <v>0</v>
      </c>
      <c r="H84" s="52">
        <f t="shared" si="18"/>
        <v>417959.15</v>
      </c>
      <c r="I84" s="86" t="s">
        <v>94</v>
      </c>
    </row>
    <row r="85" spans="1:24" x14ac:dyDescent="0.25">
      <c r="A85" s="96" t="s">
        <v>284</v>
      </c>
      <c r="D85" s="96" t="s">
        <v>379</v>
      </c>
      <c r="E85" s="197">
        <v>10704010</v>
      </c>
      <c r="F85" s="52">
        <v>43380.98</v>
      </c>
      <c r="G85" s="52">
        <f t="shared" si="17"/>
        <v>0</v>
      </c>
      <c r="H85" s="52">
        <f t="shared" si="18"/>
        <v>43380.98</v>
      </c>
      <c r="I85" s="89" t="s">
        <v>565</v>
      </c>
      <c r="J85" s="87"/>
      <c r="K85" s="196"/>
      <c r="L85" s="117"/>
      <c r="M85" s="118"/>
      <c r="N85" s="118"/>
    </row>
    <row r="86" spans="1:24" x14ac:dyDescent="0.25">
      <c r="A86" s="96" t="s">
        <v>383</v>
      </c>
      <c r="D86" s="96" t="s">
        <v>384</v>
      </c>
      <c r="E86" s="197">
        <v>10704010</v>
      </c>
      <c r="F86" s="52">
        <v>78474.67</v>
      </c>
      <c r="G86" s="52">
        <f t="shared" si="17"/>
        <v>0</v>
      </c>
      <c r="H86" s="52">
        <f t="shared" si="18"/>
        <v>78474.67</v>
      </c>
      <c r="I86" s="201" t="s">
        <v>514</v>
      </c>
      <c r="K86" s="196"/>
      <c r="L86" s="117"/>
      <c r="M86" s="118"/>
      <c r="N86" s="118"/>
    </row>
    <row r="87" spans="1:24" x14ac:dyDescent="0.25">
      <c r="A87" s="96" t="s">
        <v>385</v>
      </c>
      <c r="D87" s="96" t="s">
        <v>386</v>
      </c>
      <c r="E87" s="197">
        <v>10704010</v>
      </c>
      <c r="F87" s="52">
        <v>132825.25000000023</v>
      </c>
      <c r="G87" s="52">
        <f t="shared" si="17"/>
        <v>7804</v>
      </c>
      <c r="H87" s="52">
        <f t="shared" si="18"/>
        <v>125021.25000000023</v>
      </c>
      <c r="I87" s="86" t="s">
        <v>501</v>
      </c>
      <c r="N87" s="52">
        <v>7804</v>
      </c>
    </row>
    <row r="88" spans="1:24" x14ac:dyDescent="0.25">
      <c r="D88" s="96" t="s">
        <v>252</v>
      </c>
      <c r="E88" s="197">
        <v>10704010</v>
      </c>
      <c r="F88" s="52">
        <v>396293</v>
      </c>
      <c r="G88" s="52">
        <f t="shared" si="17"/>
        <v>375767.25</v>
      </c>
      <c r="H88" s="52">
        <f t="shared" si="18"/>
        <v>20525.75</v>
      </c>
      <c r="I88" s="86" t="s">
        <v>618</v>
      </c>
      <c r="J88" s="87"/>
      <c r="K88" s="196"/>
      <c r="L88" s="117" t="s">
        <v>493</v>
      </c>
      <c r="M88" s="118"/>
      <c r="N88" s="118"/>
      <c r="P88" s="52">
        <v>173760</v>
      </c>
      <c r="S88" s="52">
        <v>180759.25</v>
      </c>
      <c r="T88" s="52">
        <v>1050</v>
      </c>
      <c r="U88" s="52">
        <v>20198</v>
      </c>
    </row>
    <row r="89" spans="1:24" x14ac:dyDescent="0.25">
      <c r="A89" s="96" t="s">
        <v>377</v>
      </c>
      <c r="D89" s="96" t="s">
        <v>387</v>
      </c>
      <c r="E89" s="197">
        <v>10704010</v>
      </c>
      <c r="F89" s="52">
        <v>216807.2</v>
      </c>
      <c r="G89" s="52">
        <f t="shared" si="17"/>
        <v>0</v>
      </c>
      <c r="H89" s="52">
        <f t="shared" si="18"/>
        <v>216807.2</v>
      </c>
      <c r="I89" s="86" t="s">
        <v>97</v>
      </c>
    </row>
    <row r="90" spans="1:24" x14ac:dyDescent="0.25">
      <c r="D90" s="96" t="s">
        <v>251</v>
      </c>
      <c r="E90" s="197">
        <v>10704010</v>
      </c>
      <c r="F90" s="52">
        <v>103095.33999999985</v>
      </c>
      <c r="G90" s="52">
        <f t="shared" si="17"/>
        <v>0</v>
      </c>
      <c r="H90" s="52">
        <f t="shared" si="18"/>
        <v>103095.33999999985</v>
      </c>
      <c r="I90" s="86" t="s">
        <v>511</v>
      </c>
    </row>
    <row r="91" spans="1:24" x14ac:dyDescent="0.25">
      <c r="I91" s="86"/>
    </row>
    <row r="92" spans="1:24" x14ac:dyDescent="0.25">
      <c r="C92" s="96" t="s">
        <v>198</v>
      </c>
      <c r="I92" s="86"/>
    </row>
    <row r="93" spans="1:24" x14ac:dyDescent="0.25">
      <c r="A93" s="96" t="s">
        <v>371</v>
      </c>
      <c r="D93" s="96" t="s">
        <v>388</v>
      </c>
      <c r="E93" s="197">
        <v>10704030</v>
      </c>
      <c r="F93" s="52">
        <v>1834906.17</v>
      </c>
      <c r="G93" s="52">
        <f>SUM(M93:X93)</f>
        <v>354678.06</v>
      </c>
      <c r="H93" s="52">
        <f t="shared" ref="H93" si="19">F93-G93</f>
        <v>1480228.1099999999</v>
      </c>
      <c r="I93" s="86" t="s">
        <v>97</v>
      </c>
      <c r="W93" s="52">
        <v>6742.5</v>
      </c>
      <c r="X93" s="52">
        <v>347935.56</v>
      </c>
    </row>
    <row r="95" spans="1:24" x14ac:dyDescent="0.25">
      <c r="C95" s="96" t="s">
        <v>83</v>
      </c>
    </row>
    <row r="96" spans="1:24" x14ac:dyDescent="0.25">
      <c r="A96" s="96" t="s">
        <v>389</v>
      </c>
      <c r="D96" s="96" t="s">
        <v>480</v>
      </c>
      <c r="E96" s="197">
        <v>10704990</v>
      </c>
      <c r="F96" s="52">
        <v>28707.699999999997</v>
      </c>
      <c r="G96" s="52">
        <f>SUM(M96:X96)</f>
        <v>4720</v>
      </c>
      <c r="H96" s="52">
        <f t="shared" ref="H96:H127" si="20">F96-G96</f>
        <v>23987.699999999997</v>
      </c>
      <c r="I96" s="86" t="s">
        <v>616</v>
      </c>
      <c r="N96" s="52">
        <v>4720</v>
      </c>
    </row>
    <row r="97" spans="1:16" x14ac:dyDescent="0.25">
      <c r="A97" s="96" t="s">
        <v>380</v>
      </c>
      <c r="D97" s="96" t="s">
        <v>390</v>
      </c>
      <c r="E97" s="197">
        <v>10704990</v>
      </c>
      <c r="F97" s="52">
        <v>300000</v>
      </c>
      <c r="G97" s="52">
        <f>SUM(M97:X97)</f>
        <v>0</v>
      </c>
      <c r="H97" s="52">
        <f t="shared" si="20"/>
        <v>300000</v>
      </c>
      <c r="J97" s="87" t="s">
        <v>139</v>
      </c>
      <c r="K97" s="196"/>
      <c r="L97" s="117"/>
      <c r="M97" s="118"/>
      <c r="N97" s="118"/>
    </row>
    <row r="98" spans="1:16" x14ac:dyDescent="0.25">
      <c r="J98" s="87"/>
      <c r="K98" s="196"/>
      <c r="L98" s="117"/>
      <c r="M98" s="118"/>
      <c r="N98" s="118"/>
    </row>
    <row r="99" spans="1:16" x14ac:dyDescent="0.25">
      <c r="C99" s="96" t="s">
        <v>257</v>
      </c>
      <c r="E99" s="197">
        <v>10705020</v>
      </c>
      <c r="F99" s="52">
        <v>50000</v>
      </c>
      <c r="G99" s="52">
        <f>SUM(M99:X99)</f>
        <v>0</v>
      </c>
      <c r="H99" s="52">
        <f t="shared" si="20"/>
        <v>50000</v>
      </c>
      <c r="J99" s="87" t="s">
        <v>249</v>
      </c>
      <c r="K99" s="196"/>
      <c r="L99" s="117"/>
      <c r="M99" s="118"/>
      <c r="N99" s="118"/>
    </row>
    <row r="100" spans="1:16" x14ac:dyDescent="0.25">
      <c r="J100" s="87"/>
      <c r="K100" s="196"/>
      <c r="L100" s="117"/>
      <c r="M100" s="118"/>
      <c r="N100" s="118"/>
    </row>
    <row r="101" spans="1:16" x14ac:dyDescent="0.25">
      <c r="C101" s="96" t="s">
        <v>84</v>
      </c>
      <c r="E101" s="197">
        <v>10705030</v>
      </c>
      <c r="F101" s="52">
        <v>150000</v>
      </c>
      <c r="G101" s="52">
        <f>SUM(M101:X101)</f>
        <v>0</v>
      </c>
      <c r="H101" s="52">
        <f t="shared" si="20"/>
        <v>150000</v>
      </c>
      <c r="J101" s="87" t="s">
        <v>249</v>
      </c>
      <c r="K101" s="196"/>
      <c r="L101" s="117"/>
      <c r="M101" s="118"/>
      <c r="N101" s="118"/>
    </row>
    <row r="102" spans="1:16" x14ac:dyDescent="0.25">
      <c r="J102" s="87"/>
      <c r="K102" s="196"/>
      <c r="L102" s="117"/>
      <c r="M102" s="118"/>
      <c r="N102" s="118"/>
    </row>
    <row r="103" spans="1:16" x14ac:dyDescent="0.25">
      <c r="C103" s="96" t="s">
        <v>89</v>
      </c>
      <c r="J103" s="87"/>
      <c r="K103" s="196"/>
      <c r="L103" s="117"/>
      <c r="M103" s="118"/>
      <c r="N103" s="118"/>
    </row>
    <row r="104" spans="1:16" x14ac:dyDescent="0.25">
      <c r="D104" s="96" t="s">
        <v>255</v>
      </c>
      <c r="E104" s="197">
        <v>10706010</v>
      </c>
      <c r="F104" s="52">
        <v>30000</v>
      </c>
      <c r="G104" s="52">
        <f>SUM(M104:X104)</f>
        <v>0</v>
      </c>
      <c r="H104" s="52">
        <f t="shared" ref="H104" si="21">F104-G104</f>
        <v>30000</v>
      </c>
      <c r="I104" s="86" t="s">
        <v>250</v>
      </c>
      <c r="J104" s="87"/>
      <c r="K104" s="196"/>
      <c r="L104" s="117"/>
      <c r="M104" s="118"/>
      <c r="N104" s="118"/>
    </row>
    <row r="105" spans="1:16" x14ac:dyDescent="0.25">
      <c r="I105" s="86"/>
      <c r="J105" s="87"/>
      <c r="K105" s="196"/>
      <c r="L105" s="117"/>
      <c r="M105" s="118"/>
      <c r="N105" s="118"/>
    </row>
    <row r="106" spans="1:16" x14ac:dyDescent="0.25">
      <c r="C106" s="96" t="s">
        <v>199</v>
      </c>
      <c r="I106" s="86"/>
      <c r="J106" s="87"/>
      <c r="K106" s="196"/>
      <c r="L106" s="117"/>
      <c r="M106" s="118"/>
      <c r="N106" s="118"/>
    </row>
    <row r="107" spans="1:16" ht="26.25" x14ac:dyDescent="0.25">
      <c r="D107" s="140" t="s">
        <v>554</v>
      </c>
      <c r="E107" s="197">
        <v>10705990</v>
      </c>
      <c r="F107" s="52">
        <v>200000</v>
      </c>
      <c r="G107" s="52">
        <f>SUM(M107:X107)</f>
        <v>0</v>
      </c>
      <c r="H107" s="52">
        <f t="shared" ref="H107" si="22">F107-G107</f>
        <v>200000</v>
      </c>
      <c r="I107" s="86"/>
      <c r="J107" s="87" t="s">
        <v>249</v>
      </c>
      <c r="K107" s="196"/>
      <c r="L107" s="117" t="s">
        <v>564</v>
      </c>
      <c r="M107" s="118"/>
      <c r="N107" s="118"/>
    </row>
    <row r="109" spans="1:16" x14ac:dyDescent="0.25">
      <c r="A109" s="108" t="s">
        <v>119</v>
      </c>
      <c r="B109" s="108" t="s">
        <v>634</v>
      </c>
      <c r="C109" s="108"/>
      <c r="D109" s="108"/>
      <c r="E109" s="81">
        <v>1016</v>
      </c>
      <c r="F109" s="109">
        <f>SUM(F110)</f>
        <v>2700000</v>
      </c>
      <c r="G109" s="109">
        <f t="shared" ref="G109:H109" si="23">SUM(G110)</f>
        <v>2700000</v>
      </c>
      <c r="H109" s="109">
        <f t="shared" si="23"/>
        <v>0</v>
      </c>
    </row>
    <row r="110" spans="1:16" x14ac:dyDescent="0.25">
      <c r="D110" s="96" t="s">
        <v>256</v>
      </c>
      <c r="E110" s="197">
        <v>10706010</v>
      </c>
      <c r="F110" s="52">
        <v>2700000</v>
      </c>
      <c r="G110" s="52">
        <f>SUM(M110:X110)</f>
        <v>2700000</v>
      </c>
      <c r="H110" s="52">
        <f t="shared" ref="H110" si="24">F110-G110</f>
        <v>0</v>
      </c>
      <c r="J110" s="87" t="s">
        <v>247</v>
      </c>
      <c r="K110" s="196"/>
      <c r="L110" s="117"/>
      <c r="M110" s="118"/>
      <c r="N110" s="118"/>
      <c r="P110" s="52">
        <v>2700000</v>
      </c>
    </row>
    <row r="112" spans="1:16" x14ac:dyDescent="0.25">
      <c r="A112" s="108" t="s">
        <v>119</v>
      </c>
      <c r="B112" s="108" t="s">
        <v>635</v>
      </c>
      <c r="C112" s="108"/>
      <c r="D112" s="108"/>
      <c r="E112" s="81">
        <v>1031</v>
      </c>
      <c r="F112" s="109">
        <f>SUM(F113:F117)</f>
        <v>370180</v>
      </c>
      <c r="G112" s="109">
        <f t="shared" ref="G112:H112" si="25">SUM(G113:G117)</f>
        <v>369800</v>
      </c>
      <c r="H112" s="109">
        <f t="shared" si="25"/>
        <v>380</v>
      </c>
    </row>
    <row r="113" spans="1:19" x14ac:dyDescent="0.25">
      <c r="C113" s="96" t="s">
        <v>257</v>
      </c>
    </row>
    <row r="114" spans="1:19" x14ac:dyDescent="0.25">
      <c r="D114" s="96" t="s">
        <v>258</v>
      </c>
      <c r="E114" s="197">
        <v>10705020</v>
      </c>
      <c r="F114" s="52">
        <v>200000</v>
      </c>
      <c r="G114" s="52">
        <f t="shared" ref="G114:G115" si="26">SUM(M114:X114)</f>
        <v>200000</v>
      </c>
      <c r="H114" s="52">
        <f t="shared" ref="H114:H117" si="27">F114-G114</f>
        <v>0</v>
      </c>
      <c r="J114" s="87" t="s">
        <v>247</v>
      </c>
      <c r="K114" s="196"/>
      <c r="L114" s="117"/>
      <c r="M114" s="118"/>
      <c r="N114" s="118"/>
      <c r="S114" s="52">
        <v>200000</v>
      </c>
    </row>
    <row r="115" spans="1:19" x14ac:dyDescent="0.25">
      <c r="D115" s="96" t="s">
        <v>259</v>
      </c>
      <c r="E115" s="197">
        <v>10705020</v>
      </c>
      <c r="F115" s="52">
        <v>170000</v>
      </c>
      <c r="G115" s="52">
        <f t="shared" si="26"/>
        <v>169800</v>
      </c>
      <c r="H115" s="52">
        <f t="shared" si="27"/>
        <v>200</v>
      </c>
      <c r="J115" s="87" t="s">
        <v>247</v>
      </c>
      <c r="K115" s="196"/>
      <c r="L115" s="117"/>
      <c r="M115" s="118"/>
      <c r="N115" s="118"/>
      <c r="S115" s="52">
        <v>169800</v>
      </c>
    </row>
    <row r="116" spans="1:19" x14ac:dyDescent="0.25">
      <c r="C116" s="96" t="s">
        <v>84</v>
      </c>
    </row>
    <row r="117" spans="1:19" x14ac:dyDescent="0.25">
      <c r="D117" s="96" t="s">
        <v>260</v>
      </c>
      <c r="E117" s="197">
        <v>10705030</v>
      </c>
      <c r="F117" s="52">
        <v>180</v>
      </c>
      <c r="G117" s="52">
        <f>SUM(M117:X117)</f>
        <v>0</v>
      </c>
      <c r="H117" s="52">
        <f t="shared" si="27"/>
        <v>180</v>
      </c>
      <c r="J117" s="87" t="s">
        <v>247</v>
      </c>
      <c r="K117" s="196"/>
      <c r="L117" s="117"/>
      <c r="M117" s="118"/>
      <c r="N117" s="118"/>
    </row>
    <row r="119" spans="1:19" x14ac:dyDescent="0.25">
      <c r="A119" s="108" t="s">
        <v>119</v>
      </c>
      <c r="B119" s="108" t="s">
        <v>636</v>
      </c>
      <c r="C119" s="108"/>
      <c r="D119" s="108"/>
      <c r="E119" s="81">
        <v>1032</v>
      </c>
      <c r="F119" s="109">
        <f>SUM(F120)</f>
        <v>25</v>
      </c>
      <c r="G119" s="109">
        <f t="shared" ref="G119:H119" si="28">SUM(G120)</f>
        <v>0</v>
      </c>
      <c r="H119" s="109">
        <f t="shared" si="28"/>
        <v>25</v>
      </c>
    </row>
    <row r="120" spans="1:19" x14ac:dyDescent="0.25">
      <c r="A120" s="96" t="s">
        <v>358</v>
      </c>
      <c r="D120" s="96" t="s">
        <v>391</v>
      </c>
      <c r="E120" s="197">
        <v>10705030</v>
      </c>
      <c r="F120" s="52">
        <v>25</v>
      </c>
      <c r="G120" s="52">
        <f>SUM(M120:X120)</f>
        <v>0</v>
      </c>
      <c r="H120" s="52">
        <f t="shared" si="20"/>
        <v>25</v>
      </c>
      <c r="J120" s="87" t="s">
        <v>96</v>
      </c>
      <c r="K120" s="196"/>
      <c r="L120" s="117"/>
      <c r="M120" s="118"/>
      <c r="N120" s="118"/>
    </row>
    <row r="121" spans="1:19" x14ac:dyDescent="0.25">
      <c r="J121" s="87"/>
      <c r="K121" s="196"/>
      <c r="L121" s="117"/>
      <c r="M121" s="118"/>
      <c r="N121" s="118"/>
    </row>
    <row r="122" spans="1:19" x14ac:dyDescent="0.25">
      <c r="A122" s="108" t="s">
        <v>119</v>
      </c>
      <c r="B122" s="108" t="s">
        <v>637</v>
      </c>
      <c r="C122" s="108"/>
      <c r="E122" s="81">
        <v>1061</v>
      </c>
      <c r="F122" s="109">
        <f>SUM(F124:F127)</f>
        <v>97000</v>
      </c>
      <c r="G122" s="109">
        <f t="shared" ref="G122:H122" si="29">SUM(G124:G127)</f>
        <v>0</v>
      </c>
      <c r="H122" s="109">
        <f t="shared" si="29"/>
        <v>97000</v>
      </c>
      <c r="J122" s="87"/>
      <c r="K122" s="196"/>
      <c r="L122" s="117"/>
      <c r="M122" s="118"/>
      <c r="N122" s="118"/>
    </row>
    <row r="123" spans="1:19" x14ac:dyDescent="0.25">
      <c r="A123" s="108"/>
      <c r="B123" s="108"/>
      <c r="C123" s="96" t="s">
        <v>83</v>
      </c>
      <c r="E123" s="81"/>
      <c r="F123" s="115"/>
      <c r="G123" s="115"/>
      <c r="H123" s="115"/>
      <c r="J123" s="87"/>
      <c r="K123" s="196"/>
      <c r="L123" s="117"/>
      <c r="M123" s="118"/>
      <c r="N123" s="118"/>
    </row>
    <row r="124" spans="1:19" x14ac:dyDescent="0.25">
      <c r="A124" s="108"/>
      <c r="B124" s="108"/>
      <c r="C124" s="108"/>
      <c r="D124" s="96" t="s">
        <v>604</v>
      </c>
      <c r="E124" s="197">
        <v>10704990</v>
      </c>
      <c r="F124" s="153">
        <f>100000-100000</f>
        <v>0</v>
      </c>
      <c r="G124" s="52">
        <f t="shared" ref="G124" si="30">SUM(M124:X124)</f>
        <v>0</v>
      </c>
      <c r="H124" s="52">
        <f>F124-G124</f>
        <v>0</v>
      </c>
      <c r="J124" s="87" t="s">
        <v>651</v>
      </c>
      <c r="K124" s="196"/>
      <c r="L124" s="117" t="s">
        <v>612</v>
      </c>
      <c r="M124" s="118"/>
      <c r="N124" s="118"/>
    </row>
    <row r="125" spans="1:19" x14ac:dyDescent="0.25">
      <c r="A125" s="108"/>
      <c r="B125" s="108"/>
      <c r="C125" s="96" t="s">
        <v>84</v>
      </c>
      <c r="E125" s="197">
        <v>10705030</v>
      </c>
      <c r="F125" s="153">
        <v>90000</v>
      </c>
      <c r="G125" s="52">
        <f t="shared" ref="G125" si="31">SUM(M125:X125)</f>
        <v>0</v>
      </c>
      <c r="H125" s="52">
        <f t="shared" ref="H125" si="32">F125-G125</f>
        <v>90000</v>
      </c>
      <c r="J125" s="87" t="s">
        <v>605</v>
      </c>
      <c r="K125" s="196"/>
      <c r="L125" s="117"/>
      <c r="M125" s="118"/>
      <c r="N125" s="118"/>
    </row>
    <row r="126" spans="1:19" x14ac:dyDescent="0.25">
      <c r="A126" s="108"/>
      <c r="B126" s="108"/>
      <c r="C126" s="96" t="s">
        <v>199</v>
      </c>
      <c r="F126" s="115"/>
      <c r="G126" s="115"/>
      <c r="H126" s="115"/>
      <c r="J126" s="87"/>
      <c r="K126" s="196"/>
      <c r="L126" s="117"/>
      <c r="M126" s="118"/>
      <c r="N126" s="118"/>
    </row>
    <row r="127" spans="1:19" x14ac:dyDescent="0.25">
      <c r="A127" s="96" t="s">
        <v>358</v>
      </c>
      <c r="D127" s="96" t="s">
        <v>392</v>
      </c>
      <c r="E127" s="197">
        <v>10705990</v>
      </c>
      <c r="F127" s="52">
        <v>7000</v>
      </c>
      <c r="G127" s="52">
        <f>SUM(M127:X127)</f>
        <v>0</v>
      </c>
      <c r="H127" s="52">
        <f t="shared" si="20"/>
        <v>7000</v>
      </c>
      <c r="I127" s="77" t="s">
        <v>98</v>
      </c>
      <c r="J127" s="87"/>
      <c r="K127" s="196"/>
      <c r="L127" s="117"/>
      <c r="M127" s="118"/>
      <c r="N127" s="118"/>
    </row>
    <row r="128" spans="1:19" x14ac:dyDescent="0.25">
      <c r="E128" s="77"/>
      <c r="J128" s="87"/>
      <c r="K128" s="196"/>
      <c r="L128" s="117"/>
      <c r="M128" s="118"/>
      <c r="N128" s="118"/>
    </row>
    <row r="129" spans="1:25" x14ac:dyDescent="0.25">
      <c r="A129" s="108" t="s">
        <v>119</v>
      </c>
      <c r="B129" s="108" t="s">
        <v>638</v>
      </c>
      <c r="C129" s="108"/>
      <c r="E129" s="81">
        <v>1111</v>
      </c>
      <c r="F129" s="109">
        <f>SUM(F131)</f>
        <v>100</v>
      </c>
      <c r="G129" s="109">
        <f t="shared" ref="G129:H129" si="33">SUM(G131)</f>
        <v>0</v>
      </c>
      <c r="H129" s="109">
        <f t="shared" si="33"/>
        <v>100</v>
      </c>
      <c r="J129" s="87"/>
      <c r="K129" s="196"/>
      <c r="L129" s="117"/>
      <c r="M129" s="118"/>
      <c r="N129" s="118"/>
    </row>
    <row r="130" spans="1:25" x14ac:dyDescent="0.25">
      <c r="A130" s="108"/>
      <c r="B130" s="108"/>
      <c r="C130" s="96" t="s">
        <v>84</v>
      </c>
      <c r="E130" s="81"/>
      <c r="F130" s="115"/>
      <c r="G130" s="115"/>
      <c r="H130" s="115"/>
      <c r="J130" s="87"/>
      <c r="K130" s="196"/>
      <c r="L130" s="117"/>
      <c r="M130" s="118"/>
      <c r="N130" s="118"/>
    </row>
    <row r="131" spans="1:25" x14ac:dyDescent="0.25">
      <c r="D131" s="96" t="s">
        <v>261</v>
      </c>
      <c r="E131" s="197">
        <v>10705030</v>
      </c>
      <c r="F131" s="52">
        <v>100</v>
      </c>
      <c r="G131" s="52">
        <f>SUM(M131:X131)</f>
        <v>0</v>
      </c>
      <c r="H131" s="52">
        <f t="shared" ref="H131" si="34">F131-G131</f>
        <v>100</v>
      </c>
      <c r="I131" s="86" t="s">
        <v>250</v>
      </c>
      <c r="J131" s="87"/>
      <c r="K131" s="196"/>
      <c r="L131" s="117"/>
      <c r="M131" s="118"/>
      <c r="N131" s="118"/>
    </row>
    <row r="132" spans="1:25" x14ac:dyDescent="0.25">
      <c r="I132" s="86"/>
      <c r="J132" s="87"/>
      <c r="K132" s="196"/>
      <c r="L132" s="117"/>
      <c r="M132" s="118"/>
      <c r="N132" s="118"/>
    </row>
    <row r="133" spans="1:25" s="108" customFormat="1" x14ac:dyDescent="0.25">
      <c r="A133" s="108" t="s">
        <v>119</v>
      </c>
      <c r="B133" s="108" t="s">
        <v>654</v>
      </c>
      <c r="E133" s="85"/>
      <c r="I133" s="85"/>
      <c r="J133" s="85"/>
      <c r="K133" s="143"/>
      <c r="L133" s="111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</row>
    <row r="134" spans="1:25" s="108" customFormat="1" x14ac:dyDescent="0.25">
      <c r="C134" s="108" t="s">
        <v>600</v>
      </c>
      <c r="E134" s="81">
        <v>1918</v>
      </c>
      <c r="F134" s="109">
        <f>SUM(F137:F235)</f>
        <v>50228035.040000007</v>
      </c>
      <c r="G134" s="109">
        <f t="shared" ref="G134:H134" si="35">SUM(G137:G235)</f>
        <v>35953275.290000007</v>
      </c>
      <c r="H134" s="109">
        <f t="shared" si="35"/>
        <v>14274759.749999996</v>
      </c>
      <c r="I134" s="85"/>
      <c r="J134" s="85"/>
      <c r="K134" s="143"/>
      <c r="L134" s="111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</row>
    <row r="135" spans="1:25" s="108" customFormat="1" x14ac:dyDescent="0.25">
      <c r="C135" s="108" t="s">
        <v>601</v>
      </c>
      <c r="E135" s="81"/>
      <c r="F135" s="115"/>
      <c r="G135" s="115"/>
      <c r="H135" s="115"/>
      <c r="I135" s="85"/>
      <c r="J135" s="85"/>
      <c r="K135" s="143"/>
      <c r="L135" s="111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</row>
    <row r="136" spans="1:25" s="108" customFormat="1" x14ac:dyDescent="0.25">
      <c r="C136" s="96" t="s">
        <v>79</v>
      </c>
      <c r="E136" s="81"/>
      <c r="F136" s="115"/>
      <c r="G136" s="115"/>
      <c r="H136" s="115"/>
      <c r="I136" s="85"/>
      <c r="J136" s="85"/>
      <c r="K136" s="143"/>
      <c r="L136" s="111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</row>
    <row r="137" spans="1:25" s="108" customFormat="1" ht="13.5" hidden="1" customHeight="1" x14ac:dyDescent="0.25">
      <c r="C137" s="96"/>
      <c r="D137" s="96" t="s">
        <v>587</v>
      </c>
      <c r="E137" s="197">
        <v>10701010</v>
      </c>
      <c r="F137" s="153">
        <v>0</v>
      </c>
      <c r="G137" s="52">
        <f>SUM(M137:X137)</f>
        <v>0</v>
      </c>
      <c r="H137" s="52">
        <f t="shared" ref="H137:H138" si="36">F137-G137</f>
        <v>0</v>
      </c>
      <c r="I137" s="77"/>
      <c r="J137" s="87" t="s">
        <v>247</v>
      </c>
      <c r="K137" s="143"/>
      <c r="L137" s="111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</row>
    <row r="138" spans="1:25" s="108" customFormat="1" x14ac:dyDescent="0.25">
      <c r="D138" s="96" t="s">
        <v>263</v>
      </c>
      <c r="E138" s="197">
        <v>10701010</v>
      </c>
      <c r="F138" s="120">
        <v>3000000</v>
      </c>
      <c r="G138" s="52">
        <f>SUM(M138:X138)</f>
        <v>500000</v>
      </c>
      <c r="H138" s="52">
        <f t="shared" si="36"/>
        <v>2500000</v>
      </c>
      <c r="I138" s="86" t="s">
        <v>250</v>
      </c>
      <c r="J138" s="85"/>
      <c r="K138" s="143"/>
      <c r="L138" s="111"/>
      <c r="M138" s="98"/>
      <c r="N138" s="98"/>
      <c r="O138" s="98"/>
      <c r="P138" s="98"/>
      <c r="Q138" s="98"/>
      <c r="R138" s="98"/>
      <c r="S138" s="98"/>
      <c r="T138" s="98"/>
      <c r="V138" s="98"/>
      <c r="W138" s="98"/>
      <c r="X138" s="98">
        <v>500000</v>
      </c>
      <c r="Y138" s="98"/>
    </row>
    <row r="139" spans="1:25" s="108" customFormat="1" x14ac:dyDescent="0.25">
      <c r="D139" s="96" t="s">
        <v>262</v>
      </c>
      <c r="E139" s="197" t="s">
        <v>0</v>
      </c>
      <c r="F139" s="115"/>
      <c r="G139" s="115"/>
      <c r="H139" s="115"/>
      <c r="I139" s="85"/>
      <c r="J139" s="85"/>
      <c r="K139" s="143"/>
      <c r="L139" s="111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</row>
    <row r="140" spans="1:25" s="108" customFormat="1" x14ac:dyDescent="0.25">
      <c r="C140" s="126" t="s">
        <v>80</v>
      </c>
      <c r="D140" s="126"/>
      <c r="E140" s="197"/>
      <c r="F140" s="115"/>
      <c r="G140" s="115"/>
      <c r="H140" s="115"/>
      <c r="I140" s="85"/>
      <c r="J140" s="85"/>
      <c r="K140" s="143"/>
      <c r="L140" s="111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</row>
    <row r="141" spans="1:25" s="108" customFormat="1" x14ac:dyDescent="0.25">
      <c r="D141" s="96" t="s">
        <v>264</v>
      </c>
      <c r="E141" s="197">
        <v>10702990</v>
      </c>
      <c r="F141" s="120">
        <v>1188343</v>
      </c>
      <c r="G141" s="52">
        <f>SUM(M141:X141)</f>
        <v>590421.96000000008</v>
      </c>
      <c r="H141" s="52">
        <f t="shared" ref="H141" si="37">F141-G141</f>
        <v>597921.03999999992</v>
      </c>
      <c r="I141" s="85"/>
      <c r="J141" s="87" t="s">
        <v>247</v>
      </c>
      <c r="K141" s="196"/>
      <c r="L141" s="117"/>
      <c r="M141" s="98"/>
      <c r="N141" s="98"/>
      <c r="O141" s="98"/>
      <c r="P141" s="98"/>
      <c r="Q141" s="98"/>
      <c r="R141" s="98"/>
      <c r="S141" s="98"/>
      <c r="T141" s="98">
        <v>111321.89</v>
      </c>
      <c r="U141" s="98">
        <v>338991.15</v>
      </c>
      <c r="V141" s="98">
        <v>77063.009999999995</v>
      </c>
      <c r="W141" s="98">
        <v>43939</v>
      </c>
      <c r="X141" s="98">
        <v>19106.91</v>
      </c>
      <c r="Y141" s="98"/>
    </row>
    <row r="142" spans="1:25" s="108" customFormat="1" x14ac:dyDescent="0.25">
      <c r="E142" s="81"/>
      <c r="F142" s="115"/>
      <c r="G142" s="115"/>
      <c r="H142" s="115"/>
      <c r="I142" s="85"/>
      <c r="J142" s="85"/>
      <c r="K142" s="143"/>
      <c r="L142" s="111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</row>
    <row r="143" spans="1:25" x14ac:dyDescent="0.25">
      <c r="A143" s="108"/>
      <c r="B143" s="108"/>
      <c r="C143" s="126" t="s">
        <v>82</v>
      </c>
      <c r="F143" s="98"/>
      <c r="G143" s="98"/>
      <c r="H143" s="98"/>
    </row>
    <row r="144" spans="1:25" ht="26.25" x14ac:dyDescent="0.25">
      <c r="D144" s="140" t="s">
        <v>489</v>
      </c>
      <c r="E144" s="197">
        <v>10703010</v>
      </c>
      <c r="F144" s="52">
        <v>1008519.3700000001</v>
      </c>
      <c r="G144" s="52">
        <f t="shared" ref="G144:G148" si="38">SUM(M144:X144)</f>
        <v>628018.68000000005</v>
      </c>
      <c r="H144" s="52">
        <f>F144-G144</f>
        <v>380500.69000000006</v>
      </c>
      <c r="I144" s="201"/>
      <c r="J144" s="87" t="s">
        <v>625</v>
      </c>
      <c r="K144" s="196"/>
      <c r="L144" s="117"/>
      <c r="M144" s="119"/>
      <c r="N144" s="119"/>
      <c r="S144" s="52">
        <v>70600.06</v>
      </c>
      <c r="T144" s="52">
        <v>215413.6</v>
      </c>
      <c r="U144" s="52">
        <v>77561.440000000002</v>
      </c>
      <c r="V144" s="52">
        <v>178819.48</v>
      </c>
      <c r="W144" s="52">
        <v>17159.2</v>
      </c>
      <c r="X144" s="52">
        <v>68464.899999999994</v>
      </c>
    </row>
    <row r="145" spans="1:24" ht="40.5" x14ac:dyDescent="0.2">
      <c r="A145" s="96" t="s">
        <v>371</v>
      </c>
      <c r="D145" s="164" t="s">
        <v>394</v>
      </c>
      <c r="E145" s="165">
        <v>10703010</v>
      </c>
      <c r="F145" s="166">
        <v>98467.799999999814</v>
      </c>
      <c r="G145" s="166">
        <f t="shared" si="38"/>
        <v>0</v>
      </c>
      <c r="H145" s="166">
        <f>F145-G145</f>
        <v>98467.799999999814</v>
      </c>
      <c r="I145" s="165" t="s">
        <v>221</v>
      </c>
      <c r="J145" s="161"/>
      <c r="K145" s="163" t="s">
        <v>477</v>
      </c>
      <c r="L145" s="117"/>
      <c r="M145" s="118"/>
      <c r="N145" s="118"/>
      <c r="Q145" s="52">
        <v>11000</v>
      </c>
      <c r="S145" s="52">
        <v>-11000</v>
      </c>
    </row>
    <row r="146" spans="1:24" ht="13.5" customHeight="1" x14ac:dyDescent="0.25">
      <c r="D146" s="96" t="s">
        <v>265</v>
      </c>
      <c r="E146" s="197">
        <v>10703010</v>
      </c>
      <c r="F146" s="52">
        <v>471826.75</v>
      </c>
      <c r="G146" s="52">
        <f t="shared" si="38"/>
        <v>229673.12</v>
      </c>
      <c r="H146" s="52">
        <f>F146-G146</f>
        <v>242153.63</v>
      </c>
      <c r="I146" s="86" t="s">
        <v>561</v>
      </c>
      <c r="J146" s="201"/>
      <c r="K146" s="196"/>
      <c r="L146" s="117"/>
      <c r="M146" s="119">
        <v>27559.5</v>
      </c>
      <c r="N146" s="119">
        <v>115186.92</v>
      </c>
      <c r="O146" s="52">
        <v>86926.7</v>
      </c>
    </row>
    <row r="147" spans="1:24" ht="13.5" customHeight="1" x14ac:dyDescent="0.25">
      <c r="D147" s="96" t="s">
        <v>266</v>
      </c>
      <c r="E147" s="197">
        <v>10703010</v>
      </c>
      <c r="F147" s="52">
        <v>1733304.8299999998</v>
      </c>
      <c r="G147" s="52">
        <f t="shared" si="38"/>
        <v>89753.07</v>
      </c>
      <c r="H147" s="52">
        <f>F147-G147</f>
        <v>1643551.7599999998</v>
      </c>
      <c r="I147" s="201"/>
      <c r="J147" s="87" t="s">
        <v>249</v>
      </c>
      <c r="K147" s="196"/>
      <c r="L147" s="117"/>
      <c r="M147" s="119"/>
      <c r="N147" s="119"/>
      <c r="U147" s="52">
        <v>3664</v>
      </c>
      <c r="X147" s="52">
        <v>86089.07</v>
      </c>
    </row>
    <row r="148" spans="1:24" ht="26.25" x14ac:dyDescent="0.25">
      <c r="A148" s="96" t="s">
        <v>371</v>
      </c>
      <c r="D148" s="140" t="s">
        <v>395</v>
      </c>
      <c r="E148" s="197">
        <v>10703010</v>
      </c>
      <c r="F148" s="52">
        <v>228502.15000000005</v>
      </c>
      <c r="G148" s="52">
        <f t="shared" si="38"/>
        <v>0</v>
      </c>
      <c r="H148" s="52">
        <f>F148-G148</f>
        <v>228502.15000000005</v>
      </c>
      <c r="I148" s="86" t="s">
        <v>201</v>
      </c>
      <c r="J148" s="86"/>
      <c r="K148" s="196"/>
      <c r="L148" s="117"/>
      <c r="M148" s="127"/>
      <c r="N148" s="127"/>
    </row>
    <row r="149" spans="1:24" ht="13.5" customHeight="1" x14ac:dyDescent="0.25">
      <c r="I149" s="201"/>
      <c r="J149" s="201"/>
      <c r="K149" s="196"/>
      <c r="L149" s="117"/>
      <c r="M149" s="119"/>
      <c r="N149" s="119"/>
    </row>
    <row r="150" spans="1:24" x14ac:dyDescent="0.25">
      <c r="C150" s="126" t="s">
        <v>242</v>
      </c>
    </row>
    <row r="151" spans="1:24" x14ac:dyDescent="0.25">
      <c r="D151" s="96" t="s">
        <v>267</v>
      </c>
      <c r="E151" s="197">
        <v>10703040</v>
      </c>
      <c r="F151" s="52">
        <v>5000000</v>
      </c>
      <c r="G151" s="52">
        <f>SUM(M151:X151)</f>
        <v>5000000</v>
      </c>
      <c r="H151" s="52">
        <f t="shared" ref="H151:H162" si="39">F151-G151</f>
        <v>0</v>
      </c>
      <c r="I151" s="86"/>
      <c r="J151" s="87" t="s">
        <v>627</v>
      </c>
      <c r="K151" s="196"/>
      <c r="L151" s="117"/>
      <c r="R151" s="52">
        <v>5000000</v>
      </c>
    </row>
    <row r="152" spans="1:24" x14ac:dyDescent="0.25">
      <c r="D152" s="96" t="s">
        <v>268</v>
      </c>
      <c r="E152" s="197">
        <v>10703040</v>
      </c>
      <c r="F152" s="52">
        <v>3800000</v>
      </c>
      <c r="G152" s="52">
        <f>SUM(M152:X152)</f>
        <v>3689981.27</v>
      </c>
      <c r="H152" s="52">
        <f t="shared" si="39"/>
        <v>110018.72999999998</v>
      </c>
      <c r="I152" s="86"/>
      <c r="J152" s="87" t="s">
        <v>628</v>
      </c>
      <c r="K152" s="196"/>
      <c r="L152" s="117"/>
      <c r="R152" s="52">
        <v>3551952.91</v>
      </c>
      <c r="X152" s="52">
        <v>138028.35999999999</v>
      </c>
    </row>
    <row r="153" spans="1:24" x14ac:dyDescent="0.25">
      <c r="D153" s="96" t="s">
        <v>269</v>
      </c>
      <c r="E153" s="197">
        <v>10703040</v>
      </c>
      <c r="F153" s="52">
        <v>2948794.84</v>
      </c>
      <c r="G153" s="52">
        <f t="shared" ref="G153:G162" si="40">SUM(M153:X153)</f>
        <v>2784852.46</v>
      </c>
      <c r="H153" s="52">
        <f t="shared" si="39"/>
        <v>163942.37999999989</v>
      </c>
      <c r="I153" s="86"/>
      <c r="J153" s="87" t="s">
        <v>249</v>
      </c>
      <c r="K153" s="196"/>
      <c r="L153" s="117"/>
      <c r="P153" s="96"/>
      <c r="R153" s="52">
        <v>2784852.46</v>
      </c>
    </row>
    <row r="154" spans="1:24" x14ac:dyDescent="0.25">
      <c r="D154" s="96" t="s">
        <v>270</v>
      </c>
      <c r="E154" s="197">
        <v>10703040</v>
      </c>
      <c r="F154" s="52">
        <v>3000000</v>
      </c>
      <c r="G154" s="52">
        <f t="shared" si="40"/>
        <v>2895157.3200000003</v>
      </c>
      <c r="H154" s="52">
        <f t="shared" si="39"/>
        <v>104842.6799999997</v>
      </c>
      <c r="I154" s="86"/>
      <c r="J154" s="87" t="s">
        <v>249</v>
      </c>
      <c r="K154" s="196"/>
      <c r="L154" s="117"/>
      <c r="P154" s="52">
        <v>2393.58</v>
      </c>
      <c r="W154" s="52">
        <v>2892763.74</v>
      </c>
    </row>
    <row r="155" spans="1:24" x14ac:dyDescent="0.25">
      <c r="D155" s="96" t="s">
        <v>271</v>
      </c>
      <c r="E155" s="197">
        <v>10703040</v>
      </c>
      <c r="F155" s="52">
        <v>3000000</v>
      </c>
      <c r="G155" s="52">
        <f t="shared" si="40"/>
        <v>2863703.3000000003</v>
      </c>
      <c r="H155" s="52">
        <f t="shared" si="39"/>
        <v>136296.69999999972</v>
      </c>
      <c r="I155" s="86" t="s">
        <v>620</v>
      </c>
      <c r="J155" s="87"/>
      <c r="K155" s="196"/>
      <c r="L155" s="117" t="s">
        <v>493</v>
      </c>
      <c r="R155" s="52">
        <v>856653.88</v>
      </c>
      <c r="S155" s="52">
        <v>1998859.05</v>
      </c>
      <c r="X155" s="52">
        <v>8190.37</v>
      </c>
    </row>
    <row r="156" spans="1:24" x14ac:dyDescent="0.25">
      <c r="D156" s="96" t="s">
        <v>272</v>
      </c>
      <c r="E156" s="197">
        <v>10703040</v>
      </c>
      <c r="F156" s="52">
        <v>2952313.84</v>
      </c>
      <c r="G156" s="52">
        <f t="shared" si="40"/>
        <v>2934488.65</v>
      </c>
      <c r="H156" s="52">
        <f t="shared" si="39"/>
        <v>17825.189999999944</v>
      </c>
      <c r="I156" s="86" t="s">
        <v>250</v>
      </c>
      <c r="S156" s="52">
        <v>2821680.47</v>
      </c>
      <c r="T156" s="52">
        <v>25862.11</v>
      </c>
      <c r="W156" s="52">
        <v>70000</v>
      </c>
      <c r="X156" s="52">
        <v>16946.07</v>
      </c>
    </row>
    <row r="157" spans="1:24" x14ac:dyDescent="0.25">
      <c r="D157" s="96" t="s">
        <v>273</v>
      </c>
      <c r="E157" s="197">
        <v>10703040</v>
      </c>
      <c r="F157" s="52">
        <v>33142.870000000003</v>
      </c>
      <c r="G157" s="52">
        <f t="shared" si="40"/>
        <v>0</v>
      </c>
      <c r="H157" s="52">
        <f t="shared" si="39"/>
        <v>33142.870000000003</v>
      </c>
      <c r="I157" s="86" t="s">
        <v>510</v>
      </c>
    </row>
    <row r="158" spans="1:24" x14ac:dyDescent="0.25">
      <c r="D158" s="128" t="s">
        <v>472</v>
      </c>
      <c r="E158" s="197">
        <v>10703040</v>
      </c>
      <c r="F158" s="52">
        <v>156413</v>
      </c>
      <c r="G158" s="52">
        <f t="shared" si="40"/>
        <v>0</v>
      </c>
      <c r="H158" s="52">
        <f t="shared" si="39"/>
        <v>156413</v>
      </c>
      <c r="I158" s="201" t="s">
        <v>509</v>
      </c>
      <c r="K158" s="196"/>
      <c r="L158" s="117"/>
    </row>
    <row r="159" spans="1:24" x14ac:dyDescent="0.25">
      <c r="D159" s="96" t="s">
        <v>398</v>
      </c>
      <c r="E159" s="197">
        <v>10703040</v>
      </c>
      <c r="F159" s="52">
        <v>289357.83999999997</v>
      </c>
      <c r="G159" s="52">
        <f t="shared" si="40"/>
        <v>256120.4</v>
      </c>
      <c r="H159" s="52">
        <f t="shared" si="39"/>
        <v>33237.439999999973</v>
      </c>
      <c r="I159" s="86"/>
      <c r="J159" s="87" t="s">
        <v>626</v>
      </c>
      <c r="K159" s="196"/>
      <c r="L159" s="117"/>
      <c r="S159" s="52">
        <v>9628.4</v>
      </c>
      <c r="V159" s="52">
        <v>242244</v>
      </c>
      <c r="X159" s="52">
        <v>4248</v>
      </c>
    </row>
    <row r="160" spans="1:24" x14ac:dyDescent="0.25">
      <c r="D160" s="96" t="s">
        <v>274</v>
      </c>
      <c r="E160" s="197">
        <v>10703040</v>
      </c>
      <c r="F160" s="52">
        <v>704307.06</v>
      </c>
      <c r="G160" s="52">
        <f t="shared" si="40"/>
        <v>530391</v>
      </c>
      <c r="H160" s="52">
        <f t="shared" si="39"/>
        <v>173916.06000000006</v>
      </c>
      <c r="I160" s="86" t="s">
        <v>250</v>
      </c>
      <c r="X160" s="52">
        <v>530391</v>
      </c>
    </row>
    <row r="161" spans="1:24" x14ac:dyDescent="0.25">
      <c r="D161" s="96" t="s">
        <v>399</v>
      </c>
      <c r="E161" s="197">
        <v>10703040</v>
      </c>
      <c r="F161" s="52">
        <v>5996</v>
      </c>
      <c r="G161" s="52">
        <f t="shared" si="40"/>
        <v>0</v>
      </c>
      <c r="H161" s="52">
        <f t="shared" si="39"/>
        <v>5996</v>
      </c>
      <c r="I161" s="86" t="s">
        <v>606</v>
      </c>
    </row>
    <row r="162" spans="1:24" x14ac:dyDescent="0.25">
      <c r="A162" s="96" t="s">
        <v>396</v>
      </c>
      <c r="D162" s="96" t="s">
        <v>397</v>
      </c>
      <c r="E162" s="197">
        <v>10703040</v>
      </c>
      <c r="F162" s="52">
        <v>7544</v>
      </c>
      <c r="G162" s="52">
        <f t="shared" si="40"/>
        <v>0</v>
      </c>
      <c r="H162" s="52">
        <f t="shared" si="39"/>
        <v>7544</v>
      </c>
      <c r="I162" s="86" t="s">
        <v>607</v>
      </c>
    </row>
    <row r="163" spans="1:24" x14ac:dyDescent="0.25">
      <c r="I163" s="86"/>
    </row>
    <row r="164" spans="1:24" x14ac:dyDescent="0.25">
      <c r="C164" s="96" t="s">
        <v>81</v>
      </c>
    </row>
    <row r="165" spans="1:24" x14ac:dyDescent="0.25">
      <c r="D165" s="96" t="s">
        <v>275</v>
      </c>
      <c r="E165" s="197">
        <v>10704010</v>
      </c>
      <c r="F165" s="52">
        <f>66304.34-66304.34</f>
        <v>0</v>
      </c>
      <c r="G165" s="52">
        <f t="shared" ref="G165:G186" si="41">SUM(M165:X165)</f>
        <v>0</v>
      </c>
      <c r="H165" s="52">
        <f t="shared" ref="H165:H186" si="42">F165-G165</f>
        <v>0</v>
      </c>
      <c r="I165" s="86" t="s">
        <v>613</v>
      </c>
      <c r="K165" s="196"/>
      <c r="L165" s="117" t="s">
        <v>493</v>
      </c>
      <c r="M165" s="121"/>
      <c r="N165" s="121"/>
    </row>
    <row r="166" spans="1:24" x14ac:dyDescent="0.25">
      <c r="D166" s="96" t="s">
        <v>282</v>
      </c>
      <c r="E166" s="197">
        <v>10704010</v>
      </c>
      <c r="F166" s="52">
        <f>2500000-2500000</f>
        <v>0</v>
      </c>
      <c r="G166" s="52">
        <f t="shared" si="41"/>
        <v>0</v>
      </c>
      <c r="H166" s="52">
        <f t="shared" si="42"/>
        <v>0</v>
      </c>
      <c r="I166" s="86" t="s">
        <v>649</v>
      </c>
      <c r="J166" s="87"/>
      <c r="K166" s="196"/>
      <c r="L166" s="117"/>
      <c r="M166" s="121"/>
      <c r="N166" s="121"/>
    </row>
    <row r="167" spans="1:24" ht="40.5" x14ac:dyDescent="0.2">
      <c r="D167" s="157" t="s">
        <v>276</v>
      </c>
      <c r="E167" s="160">
        <v>10704010</v>
      </c>
      <c r="F167" s="158">
        <v>7454.7799999999988</v>
      </c>
      <c r="G167" s="158">
        <f t="shared" si="41"/>
        <v>0</v>
      </c>
      <c r="H167" s="158">
        <f t="shared" si="42"/>
        <v>7454.7799999999988</v>
      </c>
      <c r="I167" s="161" t="s">
        <v>506</v>
      </c>
      <c r="J167" s="162"/>
      <c r="K167" s="163" t="s">
        <v>475</v>
      </c>
      <c r="L167" s="117"/>
      <c r="M167" s="121"/>
      <c r="N167" s="121"/>
    </row>
    <row r="168" spans="1:24" x14ac:dyDescent="0.25">
      <c r="D168" s="96" t="s">
        <v>277</v>
      </c>
      <c r="E168" s="197">
        <v>10704010</v>
      </c>
      <c r="F168" s="52">
        <v>784046</v>
      </c>
      <c r="G168" s="52">
        <f t="shared" si="41"/>
        <v>564956.07000000007</v>
      </c>
      <c r="H168" s="52">
        <f t="shared" si="42"/>
        <v>219089.92999999993</v>
      </c>
      <c r="I168" s="192"/>
      <c r="J168" s="87" t="s">
        <v>249</v>
      </c>
      <c r="K168" s="196"/>
      <c r="L168" s="117"/>
      <c r="M168" s="121"/>
      <c r="N168" s="121">
        <v>271374.65000000002</v>
      </c>
      <c r="O168" s="52">
        <v>145817.95000000001</v>
      </c>
      <c r="P168" s="52">
        <v>44089.37</v>
      </c>
      <c r="Q168" s="52">
        <v>37693.82</v>
      </c>
      <c r="R168" s="52">
        <v>6783.68</v>
      </c>
      <c r="X168" s="52">
        <v>59196.6</v>
      </c>
    </row>
    <row r="169" spans="1:24" ht="13.5" customHeight="1" x14ac:dyDescent="0.25">
      <c r="D169" s="96" t="s">
        <v>278</v>
      </c>
      <c r="E169" s="197">
        <v>10704010</v>
      </c>
      <c r="F169" s="52">
        <v>1207579.2799999998</v>
      </c>
      <c r="G169" s="52">
        <f t="shared" si="41"/>
        <v>807401.34000000008</v>
      </c>
      <c r="H169" s="52">
        <f t="shared" si="42"/>
        <v>400177.93999999971</v>
      </c>
      <c r="I169" s="86" t="s">
        <v>250</v>
      </c>
      <c r="J169" s="192"/>
      <c r="K169" s="196"/>
      <c r="L169" s="117"/>
      <c r="M169" s="121">
        <v>8198.92</v>
      </c>
      <c r="N169" s="121">
        <v>235173.88</v>
      </c>
      <c r="O169" s="52">
        <v>137485.87</v>
      </c>
      <c r="P169" s="52">
        <v>44750.19</v>
      </c>
      <c r="Q169" s="52">
        <v>73382.36</v>
      </c>
      <c r="R169" s="52">
        <v>33314.82</v>
      </c>
      <c r="S169" s="52">
        <v>33089.86</v>
      </c>
      <c r="T169" s="52">
        <v>56823.4</v>
      </c>
      <c r="U169" s="52">
        <v>36686.080000000002</v>
      </c>
      <c r="V169" s="52">
        <v>25236.799999999999</v>
      </c>
      <c r="W169" s="52">
        <f>3715.2+1092+15414.53</f>
        <v>20221.73</v>
      </c>
      <c r="X169" s="52">
        <v>103037.43</v>
      </c>
    </row>
    <row r="170" spans="1:24" ht="13.5" customHeight="1" x14ac:dyDescent="0.25">
      <c r="D170" s="96" t="s">
        <v>473</v>
      </c>
      <c r="E170" s="197">
        <v>10704010</v>
      </c>
      <c r="F170" s="52">
        <f>159025.49-159025.49</f>
        <v>0</v>
      </c>
      <c r="G170" s="52">
        <f t="shared" si="41"/>
        <v>0</v>
      </c>
      <c r="H170" s="52">
        <f t="shared" si="42"/>
        <v>0</v>
      </c>
      <c r="I170" s="86" t="s">
        <v>613</v>
      </c>
      <c r="J170" s="192"/>
      <c r="K170" s="196"/>
      <c r="L170" s="117"/>
      <c r="M170" s="121"/>
      <c r="N170" s="121"/>
    </row>
    <row r="171" spans="1:24" ht="13.5" customHeight="1" x14ac:dyDescent="0.25">
      <c r="D171" s="96" t="s">
        <v>279</v>
      </c>
      <c r="E171" s="197">
        <v>10704010</v>
      </c>
      <c r="F171" s="52">
        <f>184834.97-184834.97</f>
        <v>0</v>
      </c>
      <c r="G171" s="52">
        <f t="shared" si="41"/>
        <v>0</v>
      </c>
      <c r="H171" s="52">
        <f t="shared" si="42"/>
        <v>0</v>
      </c>
      <c r="I171" s="86" t="s">
        <v>613</v>
      </c>
      <c r="K171" s="196"/>
      <c r="L171" s="117"/>
      <c r="M171" s="121"/>
      <c r="N171" s="121"/>
    </row>
    <row r="172" spans="1:24" ht="13.5" customHeight="1" x14ac:dyDescent="0.25">
      <c r="D172" s="96" t="s">
        <v>280</v>
      </c>
      <c r="E172" s="197">
        <v>10704010</v>
      </c>
      <c r="F172" s="52">
        <v>142799.12999999989</v>
      </c>
      <c r="G172" s="52">
        <f t="shared" si="41"/>
        <v>0</v>
      </c>
      <c r="H172" s="52">
        <f t="shared" si="42"/>
        <v>142799.12999999989</v>
      </c>
      <c r="I172" s="86" t="s">
        <v>560</v>
      </c>
      <c r="J172" s="192"/>
      <c r="K172" s="196"/>
      <c r="L172" s="117"/>
      <c r="M172" s="121"/>
      <c r="N172" s="121"/>
    </row>
    <row r="173" spans="1:24" ht="13.5" customHeight="1" x14ac:dyDescent="0.25">
      <c r="D173" s="96" t="s">
        <v>281</v>
      </c>
      <c r="E173" s="197">
        <v>10704010</v>
      </c>
      <c r="F173" s="52">
        <v>196530.25999999978</v>
      </c>
      <c r="G173" s="52">
        <f t="shared" si="41"/>
        <v>0</v>
      </c>
      <c r="H173" s="52">
        <f t="shared" si="42"/>
        <v>196530.25999999978</v>
      </c>
      <c r="I173" s="86" t="s">
        <v>559</v>
      </c>
      <c r="J173" s="192"/>
      <c r="K173" s="196"/>
      <c r="L173" s="117"/>
      <c r="M173" s="121"/>
      <c r="N173" s="121"/>
    </row>
    <row r="174" spans="1:24" ht="13.5" customHeight="1" x14ac:dyDescent="0.25">
      <c r="A174" s="96" t="s">
        <v>400</v>
      </c>
      <c r="D174" s="96" t="s">
        <v>401</v>
      </c>
      <c r="E174" s="197">
        <v>10704010</v>
      </c>
      <c r="F174" s="52">
        <v>98539.11</v>
      </c>
      <c r="G174" s="52">
        <f t="shared" si="41"/>
        <v>0</v>
      </c>
      <c r="H174" s="52">
        <f t="shared" si="42"/>
        <v>98539.11</v>
      </c>
      <c r="I174" s="86" t="s">
        <v>195</v>
      </c>
      <c r="J174" s="86"/>
      <c r="K174" s="196"/>
      <c r="L174" s="117"/>
      <c r="M174" s="127"/>
      <c r="N174" s="127"/>
    </row>
    <row r="175" spans="1:24" ht="13.5" customHeight="1" x14ac:dyDescent="0.25">
      <c r="D175" s="96" t="s">
        <v>286</v>
      </c>
      <c r="E175" s="197">
        <v>10704010</v>
      </c>
      <c r="F175" s="52">
        <v>249112.55000000005</v>
      </c>
      <c r="G175" s="52">
        <f t="shared" si="41"/>
        <v>216385.09000000003</v>
      </c>
      <c r="H175" s="52">
        <f t="shared" si="42"/>
        <v>32727.460000000021</v>
      </c>
      <c r="I175" s="192"/>
      <c r="J175" s="87" t="s">
        <v>249</v>
      </c>
      <c r="K175" s="196"/>
      <c r="L175" s="117"/>
      <c r="M175" s="121"/>
      <c r="N175" s="121"/>
      <c r="T175" s="52">
        <v>48773.86</v>
      </c>
      <c r="U175" s="52">
        <v>148526.78</v>
      </c>
      <c r="V175" s="52">
        <v>5584.45</v>
      </c>
      <c r="W175" s="52">
        <v>4538.8</v>
      </c>
      <c r="X175" s="52">
        <v>8961.2000000000007</v>
      </c>
    </row>
    <row r="176" spans="1:24" ht="26.25" x14ac:dyDescent="0.25">
      <c r="D176" s="140" t="s">
        <v>408</v>
      </c>
      <c r="E176" s="197">
        <v>10704010</v>
      </c>
      <c r="F176" s="52">
        <v>600000</v>
      </c>
      <c r="G176" s="52">
        <f t="shared" si="41"/>
        <v>0</v>
      </c>
      <c r="H176" s="52">
        <f t="shared" si="42"/>
        <v>600000</v>
      </c>
      <c r="I176" s="77" t="s">
        <v>602</v>
      </c>
      <c r="J176" s="87"/>
      <c r="K176" s="196"/>
      <c r="L176" s="117"/>
      <c r="M176" s="121"/>
      <c r="N176" s="121"/>
    </row>
    <row r="177" spans="1:23" ht="26.25" x14ac:dyDescent="0.25">
      <c r="D177" s="140" t="s">
        <v>598</v>
      </c>
      <c r="E177" s="197">
        <v>10704010</v>
      </c>
      <c r="F177" s="52">
        <v>600000</v>
      </c>
      <c r="G177" s="52">
        <v>0</v>
      </c>
      <c r="H177" s="52">
        <f t="shared" ref="H177" si="43">F177-G177</f>
        <v>600000</v>
      </c>
      <c r="I177" s="77" t="s">
        <v>602</v>
      </c>
      <c r="K177" s="196"/>
      <c r="L177" s="117"/>
      <c r="M177" s="121"/>
      <c r="N177" s="121"/>
    </row>
    <row r="178" spans="1:23" ht="13.5" customHeight="1" x14ac:dyDescent="0.25">
      <c r="D178" s="96" t="s">
        <v>490</v>
      </c>
      <c r="E178" s="197">
        <v>10704010</v>
      </c>
      <c r="F178" s="52">
        <v>37259.14</v>
      </c>
      <c r="G178" s="52">
        <f t="shared" si="41"/>
        <v>0</v>
      </c>
      <c r="H178" s="52">
        <f t="shared" si="42"/>
        <v>37259.14</v>
      </c>
      <c r="I178" s="201" t="s">
        <v>512</v>
      </c>
      <c r="K178" s="196"/>
      <c r="L178" s="117"/>
      <c r="M178" s="121"/>
      <c r="N178" s="121"/>
    </row>
    <row r="179" spans="1:23" ht="13.5" customHeight="1" x14ac:dyDescent="0.25">
      <c r="D179" s="96" t="s">
        <v>491</v>
      </c>
      <c r="E179" s="197">
        <v>10704010</v>
      </c>
      <c r="F179" s="52">
        <v>1078785</v>
      </c>
      <c r="G179" s="52">
        <f t="shared" si="41"/>
        <v>719350.64</v>
      </c>
      <c r="H179" s="52">
        <f t="shared" si="42"/>
        <v>359434.36</v>
      </c>
      <c r="I179" s="201" t="s">
        <v>624</v>
      </c>
      <c r="J179" s="87"/>
      <c r="K179" s="196"/>
      <c r="L179" s="117"/>
      <c r="M179" s="121"/>
      <c r="N179" s="121">
        <v>52942.05</v>
      </c>
      <c r="O179" s="52">
        <v>217801.47</v>
      </c>
      <c r="P179" s="52">
        <v>50204.95</v>
      </c>
      <c r="Q179" s="52">
        <v>110188</v>
      </c>
      <c r="R179" s="52">
        <v>10086.799999999999</v>
      </c>
      <c r="S179" s="52">
        <v>262969.37</v>
      </c>
      <c r="V179" s="52">
        <v>15158</v>
      </c>
    </row>
    <row r="180" spans="1:23" ht="13.5" customHeight="1" x14ac:dyDescent="0.25">
      <c r="D180" s="96" t="s">
        <v>283</v>
      </c>
      <c r="E180" s="197">
        <v>10704010</v>
      </c>
      <c r="F180" s="52">
        <v>2988100.8</v>
      </c>
      <c r="G180" s="52">
        <f t="shared" si="41"/>
        <v>2969536.39</v>
      </c>
      <c r="H180" s="52">
        <f t="shared" si="42"/>
        <v>18564.409999999683</v>
      </c>
      <c r="I180" s="86" t="s">
        <v>622</v>
      </c>
      <c r="J180" s="192"/>
      <c r="K180" s="196"/>
      <c r="L180" s="117"/>
      <c r="M180" s="121">
        <v>31532.880000000001</v>
      </c>
      <c r="N180" s="121">
        <v>91921.01</v>
      </c>
      <c r="O180" s="52">
        <v>26427.13</v>
      </c>
      <c r="P180" s="52">
        <v>26609</v>
      </c>
      <c r="Q180" s="52">
        <v>64604.68</v>
      </c>
      <c r="R180" s="52">
        <v>20256.650000000001</v>
      </c>
      <c r="S180" s="52">
        <f>-93547.04-82765.43-50000-23738.88-11300+2969536.39</f>
        <v>2708185.04</v>
      </c>
    </row>
    <row r="181" spans="1:23" ht="13.5" customHeight="1" x14ac:dyDescent="0.25">
      <c r="D181" s="96" t="s">
        <v>474</v>
      </c>
      <c r="E181" s="197">
        <v>10704010</v>
      </c>
      <c r="F181" s="52">
        <v>865467</v>
      </c>
      <c r="G181" s="52">
        <f t="shared" ref="G181" si="44">SUM(M181:X181)</f>
        <v>684539.42</v>
      </c>
      <c r="H181" s="52">
        <f t="shared" ref="H181" si="45">F181-G181</f>
        <v>180927.57999999996</v>
      </c>
      <c r="I181" s="86" t="s">
        <v>614</v>
      </c>
      <c r="J181" s="87"/>
      <c r="K181" s="196"/>
      <c r="L181" s="117"/>
      <c r="M181" s="121"/>
      <c r="N181" s="121">
        <v>161864</v>
      </c>
      <c r="O181" s="52">
        <v>198502.53</v>
      </c>
      <c r="P181" s="52">
        <v>122600</v>
      </c>
      <c r="R181" s="52">
        <v>1521.54</v>
      </c>
      <c r="S181" s="52">
        <v>200051.35</v>
      </c>
    </row>
    <row r="182" spans="1:23" ht="13.5" customHeight="1" x14ac:dyDescent="0.25">
      <c r="A182" s="96" t="s">
        <v>402</v>
      </c>
      <c r="D182" s="96" t="s">
        <v>403</v>
      </c>
      <c r="E182" s="197">
        <v>10704010</v>
      </c>
      <c r="F182" s="52">
        <v>26230.55</v>
      </c>
      <c r="G182" s="52">
        <f t="shared" si="41"/>
        <v>0</v>
      </c>
      <c r="H182" s="52">
        <f t="shared" si="42"/>
        <v>26230.55</v>
      </c>
      <c r="I182" s="86" t="s">
        <v>158</v>
      </c>
      <c r="J182" s="86"/>
      <c r="K182" s="196"/>
      <c r="L182" s="117"/>
      <c r="M182" s="127"/>
      <c r="N182" s="127"/>
    </row>
    <row r="183" spans="1:23" ht="13.5" customHeight="1" x14ac:dyDescent="0.25">
      <c r="A183" s="96" t="s">
        <v>121</v>
      </c>
      <c r="D183" s="96" t="s">
        <v>404</v>
      </c>
      <c r="E183" s="197">
        <v>10704010</v>
      </c>
      <c r="F183" s="52">
        <v>66215.570000000007</v>
      </c>
      <c r="G183" s="52">
        <f t="shared" si="41"/>
        <v>24585.17</v>
      </c>
      <c r="H183" s="52">
        <f t="shared" si="42"/>
        <v>41630.400000000009</v>
      </c>
      <c r="I183" s="201" t="s">
        <v>504</v>
      </c>
      <c r="K183" s="196"/>
      <c r="L183" s="117" t="s">
        <v>494</v>
      </c>
      <c r="M183" s="118"/>
      <c r="N183" s="118">
        <v>24585.17</v>
      </c>
    </row>
    <row r="184" spans="1:23" ht="13.5" customHeight="1" x14ac:dyDescent="0.25">
      <c r="A184" s="96" t="s">
        <v>373</v>
      </c>
      <c r="D184" s="96" t="s">
        <v>405</v>
      </c>
      <c r="E184" s="197">
        <v>10704010</v>
      </c>
      <c r="F184" s="52">
        <v>500000</v>
      </c>
      <c r="G184" s="52">
        <f t="shared" si="41"/>
        <v>478513.26</v>
      </c>
      <c r="H184" s="52">
        <f t="shared" si="42"/>
        <v>21486.739999999991</v>
      </c>
      <c r="I184" s="86" t="s">
        <v>226</v>
      </c>
      <c r="J184" s="86"/>
      <c r="K184" s="196"/>
      <c r="L184" s="117"/>
      <c r="M184" s="127"/>
      <c r="N184" s="127"/>
      <c r="W184" s="52">
        <v>478513.26</v>
      </c>
    </row>
    <row r="185" spans="1:23" ht="13.5" customHeight="1" x14ac:dyDescent="0.25">
      <c r="A185" s="96" t="s">
        <v>406</v>
      </c>
      <c r="D185" s="96" t="s">
        <v>407</v>
      </c>
      <c r="E185" s="197">
        <v>10704010</v>
      </c>
      <c r="F185" s="52">
        <v>3917.2</v>
      </c>
      <c r="G185" s="52">
        <f t="shared" si="41"/>
        <v>0</v>
      </c>
      <c r="H185" s="52">
        <f t="shared" si="42"/>
        <v>3917.2</v>
      </c>
      <c r="I185" s="86" t="s">
        <v>158</v>
      </c>
      <c r="J185" s="86"/>
      <c r="K185" s="196"/>
      <c r="L185" s="117"/>
      <c r="M185" s="127"/>
      <c r="N185" s="127"/>
    </row>
    <row r="186" spans="1:23" ht="26.25" x14ac:dyDescent="0.25">
      <c r="D186" s="140" t="s">
        <v>409</v>
      </c>
      <c r="E186" s="197">
        <v>10704010</v>
      </c>
      <c r="F186" s="52">
        <v>3000000</v>
      </c>
      <c r="G186" s="52">
        <f t="shared" si="41"/>
        <v>2837561.47</v>
      </c>
      <c r="H186" s="52">
        <f t="shared" si="42"/>
        <v>162438.5299999998</v>
      </c>
      <c r="I186" s="192"/>
      <c r="J186" s="87" t="s">
        <v>249</v>
      </c>
      <c r="K186" s="196"/>
      <c r="L186" s="117"/>
      <c r="M186" s="121"/>
      <c r="N186" s="121"/>
      <c r="U186" s="52">
        <v>2837561.47</v>
      </c>
    </row>
    <row r="187" spans="1:23" ht="13.5" customHeight="1" x14ac:dyDescent="0.25">
      <c r="D187" s="96" t="s">
        <v>285</v>
      </c>
      <c r="E187" s="197" t="s">
        <v>0</v>
      </c>
      <c r="I187" s="192"/>
      <c r="J187" s="192"/>
      <c r="K187" s="196"/>
      <c r="L187" s="117"/>
      <c r="M187" s="121"/>
      <c r="N187" s="121"/>
    </row>
    <row r="188" spans="1:23" ht="13.5" customHeight="1" x14ac:dyDescent="0.25">
      <c r="C188" s="96" t="s">
        <v>287</v>
      </c>
      <c r="I188" s="192"/>
      <c r="J188" s="192"/>
      <c r="K188" s="196"/>
      <c r="L188" s="117"/>
      <c r="M188" s="121"/>
      <c r="N188" s="121"/>
    </row>
    <row r="189" spans="1:23" ht="13.5" customHeight="1" x14ac:dyDescent="0.25">
      <c r="D189" s="96" t="s">
        <v>288</v>
      </c>
      <c r="E189" s="197">
        <v>10704030</v>
      </c>
      <c r="F189" s="52">
        <v>41416.540000000037</v>
      </c>
      <c r="G189" s="52">
        <f t="shared" ref="G189" si="46">SUM(M189:X189)</f>
        <v>0</v>
      </c>
      <c r="H189" s="52">
        <f t="shared" ref="H189" si="47">F189-G189</f>
        <v>41416.540000000037</v>
      </c>
      <c r="I189" s="201" t="s">
        <v>503</v>
      </c>
      <c r="K189" s="196"/>
      <c r="L189" s="117"/>
      <c r="M189" s="121"/>
      <c r="N189" s="121"/>
    </row>
    <row r="191" spans="1:23" x14ac:dyDescent="0.25">
      <c r="C191" s="96" t="s">
        <v>83</v>
      </c>
    </row>
    <row r="192" spans="1:23" x14ac:dyDescent="0.25">
      <c r="A192" s="96" t="s">
        <v>371</v>
      </c>
      <c r="D192" s="96" t="s">
        <v>410</v>
      </c>
      <c r="E192" s="197">
        <v>10704990</v>
      </c>
      <c r="F192" s="52">
        <v>500000</v>
      </c>
      <c r="G192" s="52">
        <f t="shared" ref="G192:G206" si="48">SUM(M192:X192)</f>
        <v>0</v>
      </c>
      <c r="H192" s="52">
        <f t="shared" ref="H192:H206" si="49">F192-G192</f>
        <v>500000</v>
      </c>
      <c r="I192" s="77" t="s">
        <v>609</v>
      </c>
      <c r="J192" s="87"/>
      <c r="K192" s="196"/>
      <c r="L192" s="117"/>
      <c r="M192" s="118"/>
      <c r="N192" s="118"/>
    </row>
    <row r="193" spans="1:24" ht="13.5" customHeight="1" x14ac:dyDescent="0.25">
      <c r="A193" s="126"/>
      <c r="B193" s="126"/>
      <c r="C193" s="126"/>
      <c r="D193" s="126" t="s">
        <v>293</v>
      </c>
      <c r="E193" s="197">
        <v>10704990</v>
      </c>
      <c r="F193" s="52">
        <v>72540.900000000023</v>
      </c>
      <c r="G193" s="52">
        <f t="shared" si="48"/>
        <v>12401.5</v>
      </c>
      <c r="H193" s="52">
        <f t="shared" si="49"/>
        <v>60139.400000000023</v>
      </c>
      <c r="I193" s="86" t="s">
        <v>502</v>
      </c>
      <c r="J193" s="87"/>
      <c r="K193" s="196"/>
      <c r="L193" s="117"/>
      <c r="M193" s="118"/>
      <c r="N193" s="118">
        <v>12401.5</v>
      </c>
    </row>
    <row r="194" spans="1:24" x14ac:dyDescent="0.25">
      <c r="A194" s="126"/>
      <c r="B194" s="126"/>
      <c r="C194" s="126"/>
      <c r="D194" s="126" t="s">
        <v>290</v>
      </c>
      <c r="E194" s="197">
        <v>10704990</v>
      </c>
      <c r="F194" s="52">
        <v>388896.62999999989</v>
      </c>
      <c r="G194" s="52">
        <f t="shared" si="48"/>
        <v>346315.89000000007</v>
      </c>
      <c r="H194" s="52">
        <f t="shared" si="49"/>
        <v>42580.739999999816</v>
      </c>
      <c r="I194" s="86" t="s">
        <v>250</v>
      </c>
      <c r="J194" s="87"/>
      <c r="K194" s="196"/>
      <c r="L194" s="117"/>
      <c r="M194" s="118">
        <v>5423.16</v>
      </c>
      <c r="N194" s="118">
        <v>262621.78000000003</v>
      </c>
      <c r="O194" s="52">
        <v>34532.47</v>
      </c>
      <c r="P194" s="52">
        <v>5340.56</v>
      </c>
      <c r="Q194" s="52">
        <v>690.08</v>
      </c>
      <c r="R194" s="52">
        <v>3495.64</v>
      </c>
      <c r="T194" s="52">
        <v>1108.2</v>
      </c>
      <c r="X194" s="52">
        <v>33104</v>
      </c>
    </row>
    <row r="195" spans="1:24" ht="13.5" customHeight="1" x14ac:dyDescent="0.25">
      <c r="A195" s="96" t="s">
        <v>411</v>
      </c>
      <c r="D195" s="96" t="s">
        <v>412</v>
      </c>
      <c r="E195" s="197">
        <v>10704990</v>
      </c>
      <c r="F195" s="52">
        <v>143840.28000000003</v>
      </c>
      <c r="G195" s="52">
        <f t="shared" si="48"/>
        <v>0</v>
      </c>
      <c r="H195" s="52">
        <f t="shared" si="49"/>
        <v>143840.28000000003</v>
      </c>
      <c r="I195" s="86" t="s">
        <v>202</v>
      </c>
      <c r="J195" s="86"/>
      <c r="K195" s="196"/>
      <c r="L195" s="117"/>
      <c r="M195" s="127"/>
      <c r="N195" s="127"/>
    </row>
    <row r="196" spans="1:24" ht="13.5" customHeight="1" x14ac:dyDescent="0.25">
      <c r="A196" s="96" t="s">
        <v>413</v>
      </c>
      <c r="D196" s="96" t="s">
        <v>414</v>
      </c>
      <c r="E196" s="197">
        <v>10704990</v>
      </c>
      <c r="F196" s="52">
        <v>1500000</v>
      </c>
      <c r="G196" s="52">
        <f t="shared" si="48"/>
        <v>0</v>
      </c>
      <c r="H196" s="52">
        <f t="shared" si="49"/>
        <v>1500000</v>
      </c>
      <c r="I196" s="77" t="s">
        <v>608</v>
      </c>
      <c r="J196" s="87"/>
      <c r="K196" s="196"/>
      <c r="L196" s="117" t="s">
        <v>494</v>
      </c>
      <c r="M196" s="118"/>
      <c r="N196" s="118"/>
    </row>
    <row r="197" spans="1:24" ht="13.5" customHeight="1" x14ac:dyDescent="0.25">
      <c r="A197" s="96" t="s">
        <v>400</v>
      </c>
      <c r="D197" s="96" t="s">
        <v>416</v>
      </c>
      <c r="E197" s="197">
        <v>10704990</v>
      </c>
      <c r="F197" s="52">
        <v>34642.22</v>
      </c>
      <c r="G197" s="52">
        <f t="shared" si="48"/>
        <v>0</v>
      </c>
      <c r="H197" s="52">
        <f t="shared" si="49"/>
        <v>34642.22</v>
      </c>
      <c r="I197" s="86" t="s">
        <v>159</v>
      </c>
      <c r="J197" s="86"/>
      <c r="K197" s="196"/>
      <c r="L197" s="117"/>
      <c r="M197" s="127"/>
      <c r="N197" s="127"/>
    </row>
    <row r="198" spans="1:24" ht="13.5" customHeight="1" x14ac:dyDescent="0.25">
      <c r="A198" s="126"/>
      <c r="B198" s="126"/>
      <c r="C198" s="126"/>
      <c r="D198" s="126" t="s">
        <v>430</v>
      </c>
      <c r="E198" s="197">
        <v>10704990</v>
      </c>
      <c r="F198" s="52">
        <v>267272.54000000004</v>
      </c>
      <c r="G198" s="52">
        <f t="shared" si="48"/>
        <v>214417.1</v>
      </c>
      <c r="H198" s="52">
        <f t="shared" si="49"/>
        <v>52855.440000000031</v>
      </c>
      <c r="I198" s="86" t="s">
        <v>623</v>
      </c>
      <c r="J198" s="87"/>
      <c r="K198" s="196"/>
      <c r="L198" s="117"/>
      <c r="M198" s="118">
        <v>10367.25</v>
      </c>
      <c r="N198" s="118">
        <v>10180</v>
      </c>
      <c r="O198" s="52">
        <v>36364.85</v>
      </c>
      <c r="S198" s="52">
        <v>55737</v>
      </c>
      <c r="T198" s="52">
        <v>101768</v>
      </c>
    </row>
    <row r="199" spans="1:24" ht="13.5" customHeight="1" x14ac:dyDescent="0.25">
      <c r="A199" s="126"/>
      <c r="B199" s="126"/>
      <c r="C199" s="126"/>
      <c r="D199" s="126" t="s">
        <v>291</v>
      </c>
      <c r="E199" s="197">
        <v>10704990</v>
      </c>
      <c r="F199" s="52">
        <v>415244.5</v>
      </c>
      <c r="G199" s="52">
        <f t="shared" si="48"/>
        <v>200968.41</v>
      </c>
      <c r="H199" s="52">
        <f t="shared" si="49"/>
        <v>214276.09</v>
      </c>
      <c r="I199" s="201" t="s">
        <v>584</v>
      </c>
      <c r="K199" s="196"/>
      <c r="L199" s="117"/>
      <c r="M199" s="118">
        <v>5238</v>
      </c>
      <c r="N199" s="118">
        <v>55348.480000000003</v>
      </c>
      <c r="O199" s="52">
        <v>136853.38</v>
      </c>
      <c r="P199" s="52">
        <v>3528.55</v>
      </c>
    </row>
    <row r="200" spans="1:24" ht="13.5" customHeight="1" x14ac:dyDescent="0.25">
      <c r="A200" s="96" t="s">
        <v>349</v>
      </c>
      <c r="D200" s="96" t="s">
        <v>417</v>
      </c>
      <c r="E200" s="197">
        <v>10704990</v>
      </c>
      <c r="F200" s="52">
        <v>18760.86</v>
      </c>
      <c r="G200" s="52">
        <f t="shared" si="48"/>
        <v>0</v>
      </c>
      <c r="H200" s="52">
        <f t="shared" si="49"/>
        <v>18760.86</v>
      </c>
      <c r="I200" s="86" t="s">
        <v>161</v>
      </c>
      <c r="J200" s="91"/>
      <c r="K200" s="196"/>
      <c r="L200" s="129"/>
      <c r="M200" s="130"/>
      <c r="N200" s="130"/>
    </row>
    <row r="201" spans="1:24" ht="12.75" customHeight="1" x14ac:dyDescent="0.25">
      <c r="A201" s="96" t="s">
        <v>357</v>
      </c>
      <c r="D201" s="96" t="s">
        <v>427</v>
      </c>
      <c r="E201" s="197">
        <v>10704990</v>
      </c>
      <c r="F201" s="52">
        <v>111349.24</v>
      </c>
      <c r="G201" s="52">
        <f t="shared" si="48"/>
        <v>0</v>
      </c>
      <c r="H201" s="52">
        <f t="shared" si="49"/>
        <v>111349.24</v>
      </c>
      <c r="I201" s="86" t="s">
        <v>162</v>
      </c>
      <c r="J201" s="91"/>
      <c r="K201" s="196"/>
      <c r="L201" s="129"/>
      <c r="M201" s="130"/>
      <c r="N201" s="130"/>
    </row>
    <row r="202" spans="1:24" ht="13.5" customHeight="1" x14ac:dyDescent="0.25">
      <c r="A202" s="96" t="s">
        <v>121</v>
      </c>
      <c r="D202" s="96" t="s">
        <v>428</v>
      </c>
      <c r="E202" s="197">
        <v>10704990</v>
      </c>
      <c r="F202" s="52">
        <v>40588.58</v>
      </c>
      <c r="G202" s="52">
        <f t="shared" si="48"/>
        <v>0</v>
      </c>
      <c r="H202" s="52">
        <f t="shared" si="49"/>
        <v>40588.58</v>
      </c>
      <c r="I202" s="86" t="s">
        <v>160</v>
      </c>
      <c r="J202" s="91"/>
      <c r="K202" s="196"/>
      <c r="L202" s="129"/>
      <c r="M202" s="130"/>
      <c r="N202" s="130"/>
    </row>
    <row r="203" spans="1:24" ht="12.75" customHeight="1" x14ac:dyDescent="0.25">
      <c r="A203" s="96" t="s">
        <v>375</v>
      </c>
      <c r="D203" s="96" t="s">
        <v>429</v>
      </c>
      <c r="E203" s="197">
        <v>10704990</v>
      </c>
      <c r="F203" s="52">
        <v>68416.539999999994</v>
      </c>
      <c r="G203" s="52">
        <f t="shared" si="48"/>
        <v>0</v>
      </c>
      <c r="H203" s="52">
        <f t="shared" si="49"/>
        <v>68416.539999999994</v>
      </c>
      <c r="I203" s="86" t="s">
        <v>160</v>
      </c>
      <c r="J203" s="91"/>
      <c r="K203" s="196"/>
      <c r="L203" s="129"/>
      <c r="M203" s="130"/>
      <c r="N203" s="130"/>
    </row>
    <row r="204" spans="1:24" ht="12.75" customHeight="1" x14ac:dyDescent="0.25">
      <c r="A204" s="96" t="s">
        <v>418</v>
      </c>
      <c r="D204" s="96" t="s">
        <v>419</v>
      </c>
      <c r="E204" s="197">
        <v>10704990</v>
      </c>
      <c r="F204" s="52">
        <v>13450.27</v>
      </c>
      <c r="G204" s="52">
        <f t="shared" si="48"/>
        <v>0</v>
      </c>
      <c r="H204" s="52">
        <f t="shared" si="49"/>
        <v>13450.27</v>
      </c>
      <c r="I204" s="86" t="s">
        <v>163</v>
      </c>
      <c r="J204" s="91"/>
      <c r="K204" s="196"/>
      <c r="L204" s="129"/>
      <c r="M204" s="130"/>
      <c r="N204" s="130"/>
    </row>
    <row r="205" spans="1:24" ht="13.5" customHeight="1" x14ac:dyDescent="0.25">
      <c r="A205" s="96" t="s">
        <v>358</v>
      </c>
      <c r="D205" s="96" t="s">
        <v>431</v>
      </c>
      <c r="E205" s="197">
        <v>10704990</v>
      </c>
      <c r="F205" s="52">
        <v>42035.360000000001</v>
      </c>
      <c r="G205" s="52">
        <f t="shared" si="48"/>
        <v>0</v>
      </c>
      <c r="H205" s="52">
        <f t="shared" si="49"/>
        <v>42035.360000000001</v>
      </c>
      <c r="I205" s="86" t="s">
        <v>160</v>
      </c>
      <c r="J205" s="91"/>
      <c r="K205" s="196"/>
      <c r="L205" s="129"/>
      <c r="M205" s="130"/>
      <c r="N205" s="130"/>
    </row>
    <row r="206" spans="1:24" ht="13.5" customHeight="1" x14ac:dyDescent="0.25">
      <c r="A206" s="96" t="s">
        <v>373</v>
      </c>
      <c r="D206" s="96" t="s">
        <v>572</v>
      </c>
      <c r="E206" s="197">
        <v>10704990</v>
      </c>
      <c r="F206" s="52">
        <v>42360.08</v>
      </c>
      <c r="G206" s="52">
        <f t="shared" si="48"/>
        <v>0</v>
      </c>
      <c r="H206" s="52">
        <f t="shared" si="49"/>
        <v>42360.08</v>
      </c>
      <c r="I206" s="86" t="s">
        <v>186</v>
      </c>
      <c r="J206" s="86"/>
      <c r="K206" s="196"/>
      <c r="L206" s="117"/>
      <c r="M206" s="127"/>
      <c r="N206" s="127"/>
    </row>
    <row r="207" spans="1:24" ht="13.5" customHeight="1" x14ac:dyDescent="0.25">
      <c r="D207" s="96" t="s">
        <v>573</v>
      </c>
      <c r="I207" s="86"/>
      <c r="J207" s="86"/>
      <c r="K207" s="196"/>
      <c r="L207" s="117"/>
      <c r="M207" s="127"/>
      <c r="N207" s="127"/>
    </row>
    <row r="208" spans="1:24" ht="13.5" customHeight="1" x14ac:dyDescent="0.25">
      <c r="A208" s="96" t="s">
        <v>371</v>
      </c>
      <c r="D208" s="96" t="s">
        <v>420</v>
      </c>
      <c r="E208" s="197">
        <v>10704990</v>
      </c>
      <c r="F208" s="52">
        <v>2493483.9</v>
      </c>
      <c r="G208" s="52">
        <f t="shared" ref="G208:G216" si="50">SUM(M208:X208)</f>
        <v>2355580.27</v>
      </c>
      <c r="H208" s="52">
        <f t="shared" ref="H208:H216" si="51">F208-G208</f>
        <v>137903.62999999989</v>
      </c>
      <c r="I208" s="86" t="s">
        <v>229</v>
      </c>
      <c r="J208" s="91"/>
      <c r="K208" s="196"/>
      <c r="L208" s="129"/>
      <c r="M208" s="130"/>
      <c r="N208" s="130"/>
      <c r="Q208" s="52">
        <v>2355580.27</v>
      </c>
    </row>
    <row r="209" spans="1:24" ht="13.5" customHeight="1" x14ac:dyDescent="0.25">
      <c r="A209" s="96" t="s">
        <v>371</v>
      </c>
      <c r="D209" s="96" t="s">
        <v>421</v>
      </c>
      <c r="E209" s="197">
        <v>10704990</v>
      </c>
      <c r="F209" s="52">
        <v>375653.03</v>
      </c>
      <c r="G209" s="52">
        <f t="shared" si="50"/>
        <v>0</v>
      </c>
      <c r="H209" s="52">
        <f t="shared" si="51"/>
        <v>375653.03</v>
      </c>
      <c r="I209" s="86" t="s">
        <v>165</v>
      </c>
      <c r="J209" s="91"/>
      <c r="K209" s="196"/>
      <c r="L209" s="129"/>
      <c r="M209" s="130"/>
      <c r="N209" s="130"/>
    </row>
    <row r="210" spans="1:24" x14ac:dyDescent="0.25">
      <c r="A210" s="126"/>
      <c r="B210" s="126"/>
      <c r="C210" s="126"/>
      <c r="D210" s="126" t="s">
        <v>292</v>
      </c>
      <c r="E210" s="197">
        <v>10704990</v>
      </c>
      <c r="F210" s="52">
        <v>757010</v>
      </c>
      <c r="G210" s="52">
        <f t="shared" si="50"/>
        <v>243803.5</v>
      </c>
      <c r="H210" s="52">
        <f t="shared" si="51"/>
        <v>513206.5</v>
      </c>
      <c r="I210" s="86" t="s">
        <v>250</v>
      </c>
      <c r="J210" s="87"/>
      <c r="K210" s="196"/>
      <c r="L210" s="117"/>
      <c r="M210" s="118"/>
      <c r="N210" s="118"/>
      <c r="X210" s="52">
        <v>243803.5</v>
      </c>
    </row>
    <row r="211" spans="1:24" x14ac:dyDescent="0.25">
      <c r="A211" s="126" t="s">
        <v>371</v>
      </c>
      <c r="B211" s="126"/>
      <c r="C211" s="126"/>
      <c r="D211" s="126" t="s">
        <v>426</v>
      </c>
      <c r="E211" s="197">
        <v>10704990</v>
      </c>
      <c r="F211" s="52">
        <v>143687.89000000001</v>
      </c>
      <c r="G211" s="52">
        <f t="shared" si="50"/>
        <v>127266.83</v>
      </c>
      <c r="H211" s="52">
        <f t="shared" si="51"/>
        <v>16421.060000000012</v>
      </c>
      <c r="I211" s="77" t="s">
        <v>603</v>
      </c>
      <c r="J211" s="87"/>
      <c r="K211" s="196"/>
      <c r="L211" s="117"/>
      <c r="M211" s="118"/>
      <c r="N211" s="118">
        <v>62054</v>
      </c>
      <c r="O211" s="52">
        <v>56061</v>
      </c>
      <c r="P211" s="52">
        <v>9151.83</v>
      </c>
    </row>
    <row r="212" spans="1:24" ht="26.25" x14ac:dyDescent="0.25">
      <c r="A212" s="96" t="s">
        <v>413</v>
      </c>
      <c r="D212" s="140" t="s">
        <v>415</v>
      </c>
      <c r="E212" s="197">
        <v>10704990</v>
      </c>
      <c r="F212" s="52">
        <v>164019.31</v>
      </c>
      <c r="G212" s="52">
        <f t="shared" si="50"/>
        <v>0</v>
      </c>
      <c r="H212" s="52">
        <f t="shared" si="51"/>
        <v>164019.31</v>
      </c>
      <c r="I212" s="86" t="s">
        <v>164</v>
      </c>
      <c r="J212" s="91"/>
      <c r="K212" s="196"/>
      <c r="L212" s="129"/>
      <c r="M212" s="130"/>
      <c r="N212" s="130"/>
    </row>
    <row r="213" spans="1:24" x14ac:dyDescent="0.25">
      <c r="A213" s="96" t="s">
        <v>373</v>
      </c>
      <c r="D213" s="96" t="s">
        <v>422</v>
      </c>
      <c r="E213" s="197">
        <v>10704990</v>
      </c>
      <c r="F213" s="52">
        <v>80001.969999999972</v>
      </c>
      <c r="G213" s="52">
        <f t="shared" si="50"/>
        <v>0</v>
      </c>
      <c r="H213" s="52">
        <f t="shared" si="51"/>
        <v>80001.969999999972</v>
      </c>
      <c r="I213" s="86" t="s">
        <v>230</v>
      </c>
      <c r="J213" s="86"/>
      <c r="K213" s="196"/>
      <c r="L213" s="117"/>
      <c r="M213" s="127"/>
      <c r="N213" s="127"/>
    </row>
    <row r="214" spans="1:24" x14ac:dyDescent="0.25">
      <c r="A214" s="96" t="s">
        <v>373</v>
      </c>
      <c r="D214" s="96" t="s">
        <v>423</v>
      </c>
      <c r="E214" s="197">
        <v>10704990</v>
      </c>
      <c r="F214" s="52">
        <v>33311.75</v>
      </c>
      <c r="G214" s="52">
        <f t="shared" si="50"/>
        <v>0</v>
      </c>
      <c r="H214" s="52">
        <f t="shared" si="51"/>
        <v>33311.75</v>
      </c>
      <c r="I214" s="86" t="s">
        <v>158</v>
      </c>
      <c r="J214" s="86"/>
      <c r="K214" s="196"/>
      <c r="L214" s="117"/>
      <c r="M214" s="127"/>
      <c r="N214" s="127"/>
    </row>
    <row r="215" spans="1:24" x14ac:dyDescent="0.25">
      <c r="A215" s="96" t="s">
        <v>371</v>
      </c>
      <c r="D215" s="96" t="s">
        <v>424</v>
      </c>
      <c r="E215" s="197">
        <v>10704990</v>
      </c>
      <c r="F215" s="52">
        <v>58416</v>
      </c>
      <c r="G215" s="52">
        <f t="shared" si="50"/>
        <v>0</v>
      </c>
      <c r="H215" s="52">
        <f t="shared" si="51"/>
        <v>58416</v>
      </c>
      <c r="I215" s="86" t="s">
        <v>166</v>
      </c>
      <c r="J215" s="91"/>
      <c r="K215" s="196"/>
      <c r="L215" s="129"/>
      <c r="M215" s="130"/>
      <c r="N215" s="130"/>
    </row>
    <row r="216" spans="1:24" x14ac:dyDescent="0.25">
      <c r="A216" s="96" t="s">
        <v>413</v>
      </c>
      <c r="D216" s="96" t="s">
        <v>425</v>
      </c>
      <c r="E216" s="197">
        <v>10704990</v>
      </c>
      <c r="F216" s="52">
        <v>28926.93</v>
      </c>
      <c r="G216" s="52">
        <f t="shared" si="50"/>
        <v>0</v>
      </c>
      <c r="H216" s="52">
        <f t="shared" si="51"/>
        <v>28926.93</v>
      </c>
      <c r="I216" s="201" t="s">
        <v>505</v>
      </c>
      <c r="K216" s="196"/>
      <c r="L216" s="117"/>
      <c r="M216" s="118"/>
      <c r="N216" s="118"/>
    </row>
    <row r="217" spans="1:24" x14ac:dyDescent="0.25">
      <c r="A217" s="126"/>
      <c r="B217" s="126"/>
      <c r="C217" s="126"/>
      <c r="D217" s="126"/>
      <c r="J217" s="87"/>
      <c r="K217" s="196"/>
      <c r="L217" s="117"/>
      <c r="M217" s="118"/>
      <c r="N217" s="118"/>
    </row>
    <row r="218" spans="1:24" x14ac:dyDescent="0.25">
      <c r="A218" s="126"/>
      <c r="B218" s="126"/>
      <c r="C218" s="126" t="s">
        <v>117</v>
      </c>
      <c r="D218" s="126"/>
      <c r="J218" s="87"/>
      <c r="K218" s="196"/>
      <c r="L218" s="117"/>
      <c r="M218" s="118"/>
      <c r="N218" s="118"/>
    </row>
    <row r="219" spans="1:24" x14ac:dyDescent="0.25">
      <c r="A219" s="126"/>
      <c r="B219" s="126"/>
      <c r="C219" s="126" t="s">
        <v>296</v>
      </c>
      <c r="D219" s="126"/>
      <c r="J219" s="87"/>
      <c r="K219" s="196"/>
      <c r="L219" s="117"/>
      <c r="M219" s="118"/>
      <c r="N219" s="118"/>
    </row>
    <row r="220" spans="1:24" x14ac:dyDescent="0.25">
      <c r="A220" s="126"/>
      <c r="B220" s="126"/>
      <c r="C220" s="126"/>
      <c r="D220" s="126" t="s">
        <v>294</v>
      </c>
      <c r="E220" s="197">
        <v>10799990</v>
      </c>
      <c r="F220" s="52">
        <v>19615</v>
      </c>
      <c r="G220" s="52">
        <f t="shared" ref="G220:G235" si="52">SUM(M220:X220)</f>
        <v>15056</v>
      </c>
      <c r="H220" s="52">
        <f t="shared" ref="H220:H235" si="53">F220-G220</f>
        <v>4559</v>
      </c>
      <c r="J220" s="87" t="s">
        <v>247</v>
      </c>
      <c r="K220" s="196"/>
      <c r="L220" s="117"/>
      <c r="M220" s="118"/>
      <c r="N220" s="118"/>
      <c r="R220" s="52">
        <v>15056</v>
      </c>
    </row>
    <row r="221" spans="1:24" x14ac:dyDescent="0.25">
      <c r="A221" s="126"/>
      <c r="B221" s="126"/>
      <c r="C221" s="126"/>
      <c r="D221" s="126" t="s">
        <v>295</v>
      </c>
      <c r="E221" s="197">
        <v>10799990</v>
      </c>
      <c r="F221" s="52">
        <v>19615</v>
      </c>
      <c r="G221" s="52">
        <f t="shared" si="52"/>
        <v>15056</v>
      </c>
      <c r="H221" s="52">
        <f t="shared" si="53"/>
        <v>4559</v>
      </c>
      <c r="J221" s="87" t="s">
        <v>247</v>
      </c>
      <c r="K221" s="196"/>
      <c r="L221" s="117"/>
      <c r="M221" s="118"/>
      <c r="N221" s="118"/>
      <c r="R221" s="52">
        <v>15056</v>
      </c>
    </row>
    <row r="222" spans="1:24" x14ac:dyDescent="0.25">
      <c r="A222" s="126"/>
      <c r="B222" s="126"/>
      <c r="C222" s="126"/>
      <c r="D222" s="126" t="s">
        <v>297</v>
      </c>
      <c r="E222" s="197">
        <v>10799990</v>
      </c>
      <c r="F222" s="52">
        <v>19615</v>
      </c>
      <c r="G222" s="52">
        <f t="shared" si="52"/>
        <v>0</v>
      </c>
      <c r="H222" s="52">
        <f t="shared" si="53"/>
        <v>19615</v>
      </c>
      <c r="J222" s="87" t="s">
        <v>247</v>
      </c>
      <c r="K222" s="196"/>
      <c r="L222" s="117"/>
      <c r="M222" s="118"/>
      <c r="N222" s="118"/>
    </row>
    <row r="223" spans="1:24" x14ac:dyDescent="0.25">
      <c r="A223" s="126"/>
      <c r="B223" s="126"/>
      <c r="C223" s="126"/>
      <c r="D223" s="126" t="s">
        <v>298</v>
      </c>
      <c r="E223" s="197">
        <v>10799990</v>
      </c>
      <c r="F223" s="52">
        <v>19615</v>
      </c>
      <c r="G223" s="52">
        <f t="shared" si="52"/>
        <v>15056</v>
      </c>
      <c r="H223" s="52">
        <f t="shared" si="53"/>
        <v>4559</v>
      </c>
      <c r="J223" s="87" t="s">
        <v>247</v>
      </c>
      <c r="K223" s="196"/>
      <c r="L223" s="117"/>
      <c r="M223" s="118"/>
      <c r="N223" s="118"/>
      <c r="R223" s="52">
        <v>15056</v>
      </c>
    </row>
    <row r="224" spans="1:24" x14ac:dyDescent="0.25">
      <c r="A224" s="126"/>
      <c r="B224" s="126"/>
      <c r="C224" s="126"/>
      <c r="D224" s="126" t="s">
        <v>299</v>
      </c>
      <c r="E224" s="197">
        <v>10799990</v>
      </c>
      <c r="F224" s="52">
        <v>19615</v>
      </c>
      <c r="G224" s="52">
        <f t="shared" si="52"/>
        <v>15056</v>
      </c>
      <c r="H224" s="52">
        <f t="shared" si="53"/>
        <v>4559</v>
      </c>
      <c r="J224" s="87" t="s">
        <v>247</v>
      </c>
      <c r="K224" s="196"/>
      <c r="L224" s="117"/>
      <c r="M224" s="118"/>
      <c r="N224" s="118"/>
      <c r="Q224" s="52">
        <v>15056</v>
      </c>
    </row>
    <row r="225" spans="1:18" x14ac:dyDescent="0.25">
      <c r="A225" s="126"/>
      <c r="B225" s="126"/>
      <c r="C225" s="126"/>
      <c r="D225" s="126" t="s">
        <v>300</v>
      </c>
      <c r="E225" s="197">
        <v>10799990</v>
      </c>
      <c r="F225" s="52">
        <v>19615</v>
      </c>
      <c r="G225" s="52">
        <f t="shared" si="52"/>
        <v>15056</v>
      </c>
      <c r="H225" s="52">
        <f t="shared" si="53"/>
        <v>4559</v>
      </c>
      <c r="J225" s="87" t="s">
        <v>247</v>
      </c>
      <c r="K225" s="196"/>
      <c r="L225" s="117"/>
      <c r="M225" s="118"/>
      <c r="N225" s="118"/>
      <c r="R225" s="52">
        <v>15056</v>
      </c>
    </row>
    <row r="226" spans="1:18" x14ac:dyDescent="0.25">
      <c r="A226" s="126"/>
      <c r="B226" s="126"/>
      <c r="C226" s="126"/>
      <c r="D226" s="126" t="s">
        <v>301</v>
      </c>
      <c r="E226" s="197">
        <v>10799990</v>
      </c>
      <c r="F226" s="52">
        <v>19615</v>
      </c>
      <c r="G226" s="52">
        <f t="shared" si="52"/>
        <v>15056</v>
      </c>
      <c r="H226" s="52">
        <f t="shared" si="53"/>
        <v>4559</v>
      </c>
      <c r="J226" s="87" t="s">
        <v>247</v>
      </c>
      <c r="K226" s="196"/>
      <c r="L226" s="117"/>
      <c r="M226" s="118"/>
      <c r="N226" s="118"/>
      <c r="R226" s="52">
        <v>15056</v>
      </c>
    </row>
    <row r="227" spans="1:18" x14ac:dyDescent="0.25">
      <c r="A227" s="126"/>
      <c r="B227" s="126"/>
      <c r="C227" s="126"/>
      <c r="D227" s="126" t="s">
        <v>302</v>
      </c>
      <c r="E227" s="197">
        <v>10799990</v>
      </c>
      <c r="F227" s="52">
        <v>19615</v>
      </c>
      <c r="G227" s="52">
        <f t="shared" si="52"/>
        <v>0</v>
      </c>
      <c r="H227" s="52">
        <f t="shared" si="53"/>
        <v>19615</v>
      </c>
      <c r="J227" s="87" t="s">
        <v>247</v>
      </c>
      <c r="K227" s="196"/>
      <c r="L227" s="117"/>
      <c r="M227" s="118"/>
      <c r="N227" s="118"/>
    </row>
    <row r="228" spans="1:18" x14ac:dyDescent="0.25">
      <c r="A228" s="126"/>
      <c r="B228" s="126"/>
      <c r="C228" s="126"/>
      <c r="D228" s="126" t="s">
        <v>303</v>
      </c>
      <c r="E228" s="197">
        <v>10799990</v>
      </c>
      <c r="F228" s="52">
        <v>19615</v>
      </c>
      <c r="G228" s="52">
        <f t="shared" si="52"/>
        <v>14291.18</v>
      </c>
      <c r="H228" s="52">
        <f t="shared" si="53"/>
        <v>5323.82</v>
      </c>
      <c r="J228" s="87" t="s">
        <v>247</v>
      </c>
      <c r="K228" s="196"/>
      <c r="L228" s="117"/>
      <c r="M228" s="118"/>
      <c r="N228" s="118"/>
      <c r="R228" s="52">
        <v>14291.18</v>
      </c>
    </row>
    <row r="229" spans="1:18" x14ac:dyDescent="0.25">
      <c r="A229" s="126"/>
      <c r="B229" s="126"/>
      <c r="C229" s="126"/>
      <c r="D229" s="126" t="s">
        <v>304</v>
      </c>
      <c r="E229" s="197">
        <v>10799990</v>
      </c>
      <c r="F229" s="52">
        <v>19615</v>
      </c>
      <c r="G229" s="52">
        <f t="shared" si="52"/>
        <v>4168.88</v>
      </c>
      <c r="H229" s="52">
        <f t="shared" si="53"/>
        <v>15446.119999999999</v>
      </c>
      <c r="J229" s="87" t="s">
        <v>247</v>
      </c>
      <c r="K229" s="196"/>
      <c r="L229" s="117"/>
      <c r="M229" s="118"/>
      <c r="N229" s="118"/>
      <c r="R229" s="52">
        <v>4168.88</v>
      </c>
    </row>
    <row r="230" spans="1:18" x14ac:dyDescent="0.25">
      <c r="A230" s="126"/>
      <c r="B230" s="126"/>
      <c r="C230" s="126"/>
      <c r="D230" s="126" t="s">
        <v>305</v>
      </c>
      <c r="E230" s="197">
        <v>10799990</v>
      </c>
      <c r="F230" s="52">
        <v>19615</v>
      </c>
      <c r="G230" s="52">
        <f t="shared" si="52"/>
        <v>15056</v>
      </c>
      <c r="H230" s="52">
        <f t="shared" si="53"/>
        <v>4559</v>
      </c>
      <c r="J230" s="87" t="s">
        <v>247</v>
      </c>
      <c r="K230" s="196"/>
      <c r="L230" s="117"/>
      <c r="M230" s="118"/>
      <c r="N230" s="118"/>
      <c r="R230" s="52">
        <v>15056</v>
      </c>
    </row>
    <row r="231" spans="1:18" x14ac:dyDescent="0.25">
      <c r="A231" s="126"/>
      <c r="B231" s="126"/>
      <c r="C231" s="126"/>
      <c r="D231" s="126" t="s">
        <v>306</v>
      </c>
      <c r="E231" s="197">
        <v>10799990</v>
      </c>
      <c r="F231" s="52">
        <v>19615</v>
      </c>
      <c r="G231" s="52">
        <f t="shared" si="52"/>
        <v>15056</v>
      </c>
      <c r="H231" s="52">
        <f t="shared" si="53"/>
        <v>4559</v>
      </c>
      <c r="J231" s="87" t="s">
        <v>247</v>
      </c>
      <c r="K231" s="196"/>
      <c r="L231" s="117"/>
      <c r="M231" s="118"/>
      <c r="N231" s="118"/>
      <c r="Q231" s="52">
        <v>3167.65</v>
      </c>
      <c r="R231" s="52">
        <v>11888.35</v>
      </c>
    </row>
    <row r="232" spans="1:18" x14ac:dyDescent="0.25">
      <c r="A232" s="126"/>
      <c r="B232" s="126"/>
      <c r="C232" s="126"/>
      <c r="D232" s="126" t="s">
        <v>307</v>
      </c>
      <c r="E232" s="197">
        <v>10799990</v>
      </c>
      <c r="F232" s="52">
        <v>19615</v>
      </c>
      <c r="G232" s="52">
        <f t="shared" si="52"/>
        <v>0</v>
      </c>
      <c r="H232" s="52">
        <f t="shared" si="53"/>
        <v>19615</v>
      </c>
      <c r="J232" s="87" t="s">
        <v>247</v>
      </c>
      <c r="K232" s="196"/>
      <c r="L232" s="117"/>
      <c r="M232" s="118"/>
      <c r="N232" s="118"/>
    </row>
    <row r="233" spans="1:18" x14ac:dyDescent="0.25">
      <c r="A233" s="126"/>
      <c r="B233" s="126"/>
      <c r="C233" s="126"/>
      <c r="D233" s="126" t="s">
        <v>308</v>
      </c>
      <c r="E233" s="197">
        <v>10799990</v>
      </c>
      <c r="F233" s="52">
        <v>19615</v>
      </c>
      <c r="G233" s="52">
        <f t="shared" si="52"/>
        <v>3167.65</v>
      </c>
      <c r="H233" s="52">
        <f t="shared" si="53"/>
        <v>16447.349999999999</v>
      </c>
      <c r="J233" s="87" t="s">
        <v>247</v>
      </c>
      <c r="K233" s="196"/>
      <c r="L233" s="117"/>
      <c r="M233" s="118"/>
      <c r="N233" s="118"/>
      <c r="R233" s="52">
        <v>3167.65</v>
      </c>
    </row>
    <row r="234" spans="1:18" x14ac:dyDescent="0.25">
      <c r="A234" s="126"/>
      <c r="B234" s="126"/>
      <c r="C234" s="126"/>
      <c r="D234" s="126" t="s">
        <v>309</v>
      </c>
      <c r="E234" s="197">
        <v>10799990</v>
      </c>
      <c r="F234" s="52">
        <v>19615</v>
      </c>
      <c r="G234" s="52">
        <f t="shared" si="52"/>
        <v>0</v>
      </c>
      <c r="H234" s="52">
        <f t="shared" si="53"/>
        <v>19615</v>
      </c>
      <c r="J234" s="87" t="s">
        <v>247</v>
      </c>
      <c r="K234" s="196"/>
      <c r="L234" s="117"/>
      <c r="M234" s="118"/>
      <c r="N234" s="118"/>
    </row>
    <row r="235" spans="1:18" x14ac:dyDescent="0.25">
      <c r="A235" s="126"/>
      <c r="B235" s="126"/>
      <c r="C235" s="126"/>
      <c r="D235" s="126" t="s">
        <v>310</v>
      </c>
      <c r="E235" s="197">
        <v>10799990</v>
      </c>
      <c r="F235" s="52">
        <v>19615</v>
      </c>
      <c r="G235" s="52">
        <f t="shared" si="52"/>
        <v>15056</v>
      </c>
      <c r="H235" s="52">
        <f t="shared" si="53"/>
        <v>4559</v>
      </c>
      <c r="J235" s="87" t="s">
        <v>247</v>
      </c>
      <c r="K235" s="196"/>
      <c r="L235" s="117"/>
      <c r="M235" s="118"/>
      <c r="N235" s="118"/>
      <c r="R235" s="52">
        <v>15056</v>
      </c>
    </row>
    <row r="236" spans="1:18" x14ac:dyDescent="0.25">
      <c r="J236" s="87"/>
      <c r="K236" s="196"/>
      <c r="L236" s="117"/>
      <c r="M236" s="118"/>
      <c r="N236" s="118"/>
    </row>
    <row r="237" spans="1:18" x14ac:dyDescent="0.25">
      <c r="A237" s="108" t="s">
        <v>123</v>
      </c>
      <c r="F237" s="109">
        <f>+F239+F245+F256+F260+F263</f>
        <v>3431399</v>
      </c>
      <c r="G237" s="109">
        <f t="shared" ref="G237:H237" si="54">+G239+G245+G256+G260+G263</f>
        <v>1057795</v>
      </c>
      <c r="H237" s="109">
        <f t="shared" si="54"/>
        <v>2373604</v>
      </c>
    </row>
    <row r="239" spans="1:18" x14ac:dyDescent="0.25">
      <c r="B239" s="108" t="s">
        <v>655</v>
      </c>
      <c r="E239" s="81">
        <v>4421</v>
      </c>
      <c r="F239" s="109">
        <f>SUM(F241:F243)</f>
        <v>1189049</v>
      </c>
      <c r="G239" s="109">
        <f t="shared" ref="G239:H239" si="55">SUM(G241:G243)</f>
        <v>0</v>
      </c>
      <c r="H239" s="109">
        <f t="shared" si="55"/>
        <v>1189049</v>
      </c>
    </row>
    <row r="240" spans="1:18" x14ac:dyDescent="0.25">
      <c r="C240" s="96" t="s">
        <v>287</v>
      </c>
      <c r="J240" s="87"/>
      <c r="K240" s="196"/>
      <c r="L240" s="117"/>
      <c r="M240" s="118"/>
      <c r="N240" s="118"/>
    </row>
    <row r="241" spans="1:18" x14ac:dyDescent="0.25">
      <c r="A241" s="96" t="s">
        <v>371</v>
      </c>
      <c r="D241" s="96" t="s">
        <v>434</v>
      </c>
      <c r="E241" s="197">
        <v>10704030</v>
      </c>
      <c r="F241" s="52">
        <v>604004</v>
      </c>
      <c r="G241" s="52">
        <f t="shared" ref="G241" si="56">SUM(M241:X241)</f>
        <v>0</v>
      </c>
      <c r="H241" s="52">
        <f>F241-G241</f>
        <v>604004</v>
      </c>
      <c r="I241" s="77" t="s">
        <v>97</v>
      </c>
      <c r="J241" s="87"/>
      <c r="K241" s="196"/>
      <c r="L241" s="117"/>
      <c r="M241" s="118"/>
      <c r="N241" s="118"/>
    </row>
    <row r="242" spans="1:18" x14ac:dyDescent="0.25">
      <c r="B242" s="108"/>
      <c r="C242" s="96" t="s">
        <v>83</v>
      </c>
      <c r="E242" s="81"/>
      <c r="F242" s="115"/>
      <c r="G242" s="115"/>
      <c r="H242" s="115"/>
    </row>
    <row r="243" spans="1:18" x14ac:dyDescent="0.25">
      <c r="A243" s="96" t="s">
        <v>432</v>
      </c>
      <c r="D243" s="96" t="s">
        <v>433</v>
      </c>
      <c r="E243" s="197">
        <v>10704990</v>
      </c>
      <c r="F243" s="52">
        <v>585045</v>
      </c>
      <c r="G243" s="52">
        <f t="shared" ref="G243" si="57">SUM(M243:X243)</f>
        <v>0</v>
      </c>
      <c r="H243" s="52">
        <f t="shared" ref="H243:H285" si="58">F243-G243</f>
        <v>585045</v>
      </c>
      <c r="J243" s="87" t="s">
        <v>140</v>
      </c>
      <c r="K243" s="196"/>
      <c r="L243" s="117"/>
      <c r="M243" s="118"/>
      <c r="N243" s="118"/>
    </row>
    <row r="245" spans="1:18" x14ac:dyDescent="0.25">
      <c r="B245" s="108" t="s">
        <v>656</v>
      </c>
      <c r="E245" s="81" t="s">
        <v>311</v>
      </c>
      <c r="F245" s="109">
        <f>SUM(F247:F254)</f>
        <v>937000</v>
      </c>
      <c r="G245" s="109">
        <f t="shared" ref="G245:H245" si="59">SUM(G247:G254)</f>
        <v>307840</v>
      </c>
      <c r="H245" s="109">
        <f t="shared" si="59"/>
        <v>629160</v>
      </c>
    </row>
    <row r="246" spans="1:18" x14ac:dyDescent="0.25">
      <c r="B246" s="108"/>
      <c r="C246" s="96" t="s">
        <v>312</v>
      </c>
      <c r="E246" s="81"/>
      <c r="F246" s="115"/>
      <c r="G246" s="115"/>
      <c r="H246" s="115"/>
    </row>
    <row r="247" spans="1:18" x14ac:dyDescent="0.25">
      <c r="D247" s="96" t="s">
        <v>313</v>
      </c>
      <c r="E247" s="197">
        <v>10703990</v>
      </c>
      <c r="F247" s="52">
        <v>500000</v>
      </c>
      <c r="G247" s="52">
        <f t="shared" ref="G247" si="60">SUM(M247:X247)</f>
        <v>0</v>
      </c>
      <c r="H247" s="52">
        <f t="shared" ref="H247:H254" si="61">F247-G247</f>
        <v>500000</v>
      </c>
      <c r="I247" s="77" t="s">
        <v>250</v>
      </c>
    </row>
    <row r="248" spans="1:18" x14ac:dyDescent="0.25">
      <c r="C248" s="96" t="s">
        <v>257</v>
      </c>
    </row>
    <row r="249" spans="1:18" x14ac:dyDescent="0.25">
      <c r="D249" s="96" t="s">
        <v>314</v>
      </c>
      <c r="E249" s="197">
        <v>10705020</v>
      </c>
      <c r="F249" s="52">
        <v>25000</v>
      </c>
      <c r="G249" s="52">
        <f t="shared" ref="G249:G250" si="62">SUM(M249:X249)</f>
        <v>0</v>
      </c>
      <c r="H249" s="52">
        <f t="shared" si="61"/>
        <v>25000</v>
      </c>
      <c r="I249" s="77" t="s">
        <v>250</v>
      </c>
    </row>
    <row r="250" spans="1:18" x14ac:dyDescent="0.25">
      <c r="D250" s="96" t="s">
        <v>315</v>
      </c>
      <c r="E250" s="197">
        <v>10705020</v>
      </c>
      <c r="F250" s="52">
        <v>17000</v>
      </c>
      <c r="G250" s="52">
        <f t="shared" si="62"/>
        <v>0</v>
      </c>
      <c r="H250" s="52">
        <f t="shared" si="61"/>
        <v>17000</v>
      </c>
      <c r="I250" s="77" t="s">
        <v>250</v>
      </c>
    </row>
    <row r="251" spans="1:18" x14ac:dyDescent="0.25">
      <c r="C251" s="96" t="s">
        <v>84</v>
      </c>
    </row>
    <row r="252" spans="1:18" x14ac:dyDescent="0.25">
      <c r="D252" s="96" t="s">
        <v>317</v>
      </c>
      <c r="E252" s="197">
        <v>10705030</v>
      </c>
      <c r="F252" s="52">
        <v>150000</v>
      </c>
      <c r="G252" s="52">
        <f t="shared" ref="G252:G254" si="63">SUM(M252:X252)</f>
        <v>149950</v>
      </c>
      <c r="H252" s="52">
        <f t="shared" si="61"/>
        <v>50</v>
      </c>
      <c r="I252" s="77" t="s">
        <v>250</v>
      </c>
      <c r="R252" s="52">
        <v>149950</v>
      </c>
    </row>
    <row r="253" spans="1:18" x14ac:dyDescent="0.25">
      <c r="D253" s="96" t="s">
        <v>318</v>
      </c>
      <c r="E253" s="197">
        <v>10705030</v>
      </c>
      <c r="F253" s="52">
        <v>105000</v>
      </c>
      <c r="G253" s="52">
        <f t="shared" si="63"/>
        <v>75900</v>
      </c>
      <c r="H253" s="52">
        <f t="shared" si="61"/>
        <v>29100</v>
      </c>
      <c r="I253" s="77" t="s">
        <v>250</v>
      </c>
      <c r="R253" s="52">
        <v>75900</v>
      </c>
    </row>
    <row r="254" spans="1:18" x14ac:dyDescent="0.25">
      <c r="D254" s="96" t="s">
        <v>499</v>
      </c>
      <c r="E254" s="197">
        <v>10705030</v>
      </c>
      <c r="F254" s="52">
        <v>140000</v>
      </c>
      <c r="G254" s="52">
        <f t="shared" si="63"/>
        <v>81990</v>
      </c>
      <c r="H254" s="52">
        <f t="shared" si="61"/>
        <v>58010</v>
      </c>
      <c r="I254" s="77" t="s">
        <v>250</v>
      </c>
      <c r="R254" s="52">
        <v>81990</v>
      </c>
    </row>
    <row r="256" spans="1:18" x14ac:dyDescent="0.25">
      <c r="B256" s="108" t="s">
        <v>657</v>
      </c>
      <c r="E256" s="81" t="s">
        <v>319</v>
      </c>
      <c r="F256" s="109">
        <f>+F258</f>
        <v>400000</v>
      </c>
      <c r="G256" s="109">
        <f t="shared" ref="G256:H256" si="64">+G258</f>
        <v>149995</v>
      </c>
      <c r="H256" s="109">
        <f t="shared" si="64"/>
        <v>250005</v>
      </c>
    </row>
    <row r="257" spans="1:25" x14ac:dyDescent="0.25">
      <c r="C257" s="96" t="s">
        <v>320</v>
      </c>
    </row>
    <row r="258" spans="1:25" x14ac:dyDescent="0.25">
      <c r="D258" s="96" t="s">
        <v>321</v>
      </c>
      <c r="E258" s="197">
        <v>10705110</v>
      </c>
      <c r="F258" s="52">
        <v>400000</v>
      </c>
      <c r="G258" s="52">
        <f t="shared" ref="G258" si="65">SUM(M258:X258)</f>
        <v>149995</v>
      </c>
      <c r="H258" s="52">
        <f t="shared" ref="H258" si="66">F258-G258</f>
        <v>250005</v>
      </c>
      <c r="I258" s="77" t="s">
        <v>250</v>
      </c>
      <c r="S258" s="52">
        <v>149995</v>
      </c>
    </row>
    <row r="260" spans="1:25" x14ac:dyDescent="0.25">
      <c r="B260" s="108" t="s">
        <v>658</v>
      </c>
      <c r="E260" s="81" t="s">
        <v>125</v>
      </c>
      <c r="F260" s="109">
        <f>+F261</f>
        <v>100000</v>
      </c>
      <c r="G260" s="109">
        <f t="shared" ref="G260" si="67">+G261</f>
        <v>0</v>
      </c>
      <c r="H260" s="109">
        <f>+H261</f>
        <v>100000</v>
      </c>
    </row>
    <row r="261" spans="1:25" x14ac:dyDescent="0.25">
      <c r="A261" s="96" t="s">
        <v>435</v>
      </c>
      <c r="D261" s="96" t="s">
        <v>320</v>
      </c>
      <c r="E261" s="197">
        <v>10705110</v>
      </c>
      <c r="F261" s="52">
        <v>100000</v>
      </c>
      <c r="G261" s="52">
        <f t="shared" ref="G261" si="68">SUM(M261:X261)</f>
        <v>0</v>
      </c>
      <c r="H261" s="52">
        <f t="shared" si="58"/>
        <v>100000</v>
      </c>
      <c r="J261" s="87" t="s">
        <v>139</v>
      </c>
      <c r="K261" s="196"/>
      <c r="L261" s="117"/>
      <c r="M261" s="118"/>
      <c r="N261" s="118"/>
    </row>
    <row r="262" spans="1:25" x14ac:dyDescent="0.25">
      <c r="J262" s="87"/>
      <c r="K262" s="196"/>
      <c r="L262" s="117"/>
      <c r="M262" s="118"/>
      <c r="N262" s="118"/>
    </row>
    <row r="263" spans="1:25" x14ac:dyDescent="0.25">
      <c r="B263" s="108" t="s">
        <v>659</v>
      </c>
      <c r="E263" s="81" t="s">
        <v>125</v>
      </c>
      <c r="F263" s="109">
        <f>SUM(F265:F269)</f>
        <v>805350</v>
      </c>
      <c r="G263" s="109">
        <f t="shared" ref="G263:H263" si="69">SUM(G265:G269)</f>
        <v>599960</v>
      </c>
      <c r="H263" s="109">
        <f t="shared" si="69"/>
        <v>205390</v>
      </c>
    </row>
    <row r="264" spans="1:25" x14ac:dyDescent="0.25">
      <c r="B264" s="108"/>
      <c r="C264" s="96" t="s">
        <v>257</v>
      </c>
      <c r="E264" s="81"/>
      <c r="F264" s="115"/>
      <c r="G264" s="115"/>
      <c r="H264" s="115"/>
    </row>
    <row r="265" spans="1:25" x14ac:dyDescent="0.25">
      <c r="D265" s="96" t="s">
        <v>324</v>
      </c>
      <c r="E265" s="197">
        <v>10705020</v>
      </c>
      <c r="F265" s="52">
        <v>105000</v>
      </c>
      <c r="G265" s="52">
        <f t="shared" ref="G265:G269" si="70">SUM(M265:X265)</f>
        <v>0</v>
      </c>
      <c r="H265" s="52">
        <f t="shared" ref="H265:H269" si="71">F265-G265</f>
        <v>105000</v>
      </c>
      <c r="I265" s="77" t="s">
        <v>250</v>
      </c>
      <c r="J265" s="87"/>
      <c r="K265" s="196"/>
      <c r="L265" s="117"/>
      <c r="M265" s="118"/>
      <c r="N265" s="118"/>
    </row>
    <row r="266" spans="1:25" x14ac:dyDescent="0.25">
      <c r="C266" s="96" t="s">
        <v>316</v>
      </c>
      <c r="J266" s="87"/>
      <c r="K266" s="196"/>
      <c r="L266" s="117"/>
      <c r="M266" s="118"/>
      <c r="N266" s="118"/>
    </row>
    <row r="267" spans="1:25" x14ac:dyDescent="0.25">
      <c r="D267" s="96" t="s">
        <v>323</v>
      </c>
      <c r="E267" s="197">
        <v>10705030</v>
      </c>
      <c r="F267" s="52">
        <v>350</v>
      </c>
      <c r="G267" s="52">
        <f t="shared" si="70"/>
        <v>0</v>
      </c>
      <c r="H267" s="52">
        <f t="shared" si="71"/>
        <v>350</v>
      </c>
      <c r="I267" s="77" t="s">
        <v>250</v>
      </c>
      <c r="J267" s="87"/>
      <c r="K267" s="196"/>
      <c r="L267" s="117"/>
      <c r="M267" s="118"/>
      <c r="N267" s="118"/>
    </row>
    <row r="268" spans="1:25" x14ac:dyDescent="0.25">
      <c r="C268" s="96" t="s">
        <v>320</v>
      </c>
      <c r="J268" s="87"/>
      <c r="K268" s="196"/>
      <c r="L268" s="117"/>
      <c r="M268" s="118"/>
      <c r="N268" s="118"/>
    </row>
    <row r="269" spans="1:25" x14ac:dyDescent="0.25">
      <c r="D269" s="96" t="s">
        <v>322</v>
      </c>
      <c r="E269" s="197">
        <v>10705110</v>
      </c>
      <c r="F269" s="52">
        <v>700000</v>
      </c>
      <c r="G269" s="52">
        <f t="shared" si="70"/>
        <v>599960</v>
      </c>
      <c r="H269" s="52">
        <f t="shared" si="71"/>
        <v>100040</v>
      </c>
      <c r="I269" s="77" t="s">
        <v>250</v>
      </c>
      <c r="J269" s="87"/>
      <c r="K269" s="196"/>
      <c r="L269" s="117"/>
      <c r="M269" s="118"/>
      <c r="N269" s="118"/>
      <c r="V269" s="52">
        <v>599960</v>
      </c>
    </row>
    <row r="270" spans="1:25" x14ac:dyDescent="0.25">
      <c r="J270" s="87"/>
      <c r="K270" s="196"/>
      <c r="L270" s="117"/>
      <c r="M270" s="118"/>
      <c r="N270" s="118"/>
    </row>
    <row r="271" spans="1:25" s="108" customFormat="1" x14ac:dyDescent="0.25">
      <c r="A271" s="108" t="s">
        <v>31</v>
      </c>
      <c r="E271" s="81" t="s">
        <v>0</v>
      </c>
      <c r="F271" s="109">
        <f>+F273+F277+F287</f>
        <v>2130685.0299999998</v>
      </c>
      <c r="G271" s="109">
        <f>+G273+G277+G287</f>
        <v>60143.040000000001</v>
      </c>
      <c r="H271" s="109">
        <f>+H273+H277+H287</f>
        <v>2070541.9899999998</v>
      </c>
      <c r="I271" s="85"/>
      <c r="J271" s="85"/>
      <c r="K271" s="143"/>
      <c r="L271" s="111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</row>
    <row r="272" spans="1:25" s="108" customFormat="1" x14ac:dyDescent="0.25">
      <c r="E272" s="81"/>
      <c r="F272" s="115"/>
      <c r="G272" s="115"/>
      <c r="H272" s="115"/>
      <c r="I272" s="85"/>
      <c r="J272" s="85"/>
      <c r="K272" s="143"/>
      <c r="L272" s="111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</row>
    <row r="273" spans="1:16" x14ac:dyDescent="0.25">
      <c r="A273" s="108" t="s">
        <v>120</v>
      </c>
      <c r="B273" s="108" t="s">
        <v>639</v>
      </c>
      <c r="C273" s="108"/>
      <c r="D273" s="108"/>
      <c r="E273" s="81">
        <v>8731</v>
      </c>
      <c r="F273" s="109">
        <f>SUM(F275:F275)</f>
        <v>2000</v>
      </c>
      <c r="G273" s="109">
        <f>SUM(G275:G275)</f>
        <v>0</v>
      </c>
      <c r="H273" s="109">
        <f>SUM(H275:H275)</f>
        <v>2000</v>
      </c>
    </row>
    <row r="274" spans="1:16" x14ac:dyDescent="0.25">
      <c r="A274" s="108"/>
      <c r="B274" s="108"/>
      <c r="C274" s="96" t="s">
        <v>199</v>
      </c>
      <c r="D274" s="108"/>
      <c r="E274" s="77"/>
      <c r="F274" s="115"/>
      <c r="G274" s="115"/>
      <c r="H274" s="115"/>
    </row>
    <row r="275" spans="1:16" x14ac:dyDescent="0.25">
      <c r="A275" s="96" t="s">
        <v>406</v>
      </c>
      <c r="D275" s="96" t="s">
        <v>436</v>
      </c>
      <c r="E275" s="197">
        <v>10705990</v>
      </c>
      <c r="F275" s="52">
        <f>450000-448000</f>
        <v>2000</v>
      </c>
      <c r="G275" s="52">
        <f t="shared" ref="G275" si="72">SUM(M275:X275)</f>
        <v>0</v>
      </c>
      <c r="H275" s="52">
        <f t="shared" si="58"/>
        <v>2000</v>
      </c>
      <c r="I275" s="86" t="s">
        <v>94</v>
      </c>
    </row>
    <row r="277" spans="1:16" x14ac:dyDescent="0.25">
      <c r="A277" s="108" t="s">
        <v>119</v>
      </c>
      <c r="B277" s="108" t="s">
        <v>640</v>
      </c>
      <c r="C277" s="108"/>
      <c r="D277" s="108"/>
      <c r="E277" s="81">
        <v>8751</v>
      </c>
      <c r="F277" s="109">
        <f>SUM(F279:F285)</f>
        <v>500142.49999999994</v>
      </c>
      <c r="G277" s="109">
        <f>SUM(G279:G285)</f>
        <v>60143.040000000001</v>
      </c>
      <c r="H277" s="109">
        <f>SUM(H279:H285)</f>
        <v>439999.45999999996</v>
      </c>
    </row>
    <row r="278" spans="1:16" x14ac:dyDescent="0.25">
      <c r="C278" s="126" t="s">
        <v>142</v>
      </c>
    </row>
    <row r="279" spans="1:16" x14ac:dyDescent="0.25">
      <c r="A279" s="96" t="s">
        <v>377</v>
      </c>
      <c r="D279" s="96" t="s">
        <v>438</v>
      </c>
      <c r="E279" s="197">
        <v>10703010</v>
      </c>
      <c r="F279" s="52">
        <v>348215.22</v>
      </c>
      <c r="G279" s="52">
        <f t="shared" ref="G279" si="73">SUM(M279:X279)</f>
        <v>60143.040000000001</v>
      </c>
      <c r="H279" s="52">
        <f>F279-G279</f>
        <v>288072.18</v>
      </c>
      <c r="I279" s="86" t="s">
        <v>562</v>
      </c>
      <c r="N279" s="52">
        <v>54417.2</v>
      </c>
      <c r="O279" s="52">
        <v>2393.58</v>
      </c>
      <c r="P279" s="52">
        <v>3332.26</v>
      </c>
    </row>
    <row r="280" spans="1:16" x14ac:dyDescent="0.25">
      <c r="A280" s="108"/>
      <c r="B280" s="108"/>
      <c r="C280" s="108"/>
      <c r="D280" s="108"/>
      <c r="E280" s="81"/>
      <c r="F280" s="115"/>
      <c r="G280" s="115"/>
      <c r="H280" s="115"/>
    </row>
    <row r="281" spans="1:16" x14ac:dyDescent="0.25">
      <c r="A281" s="108"/>
      <c r="B281" s="108"/>
      <c r="C281" s="126" t="s">
        <v>141</v>
      </c>
      <c r="D281" s="108"/>
      <c r="E281" s="81"/>
      <c r="F281" s="115"/>
      <c r="G281" s="115"/>
      <c r="H281" s="115"/>
    </row>
    <row r="282" spans="1:16" x14ac:dyDescent="0.25">
      <c r="A282" s="96" t="s">
        <v>418</v>
      </c>
      <c r="D282" s="96" t="s">
        <v>437</v>
      </c>
      <c r="E282" s="197">
        <v>10704010</v>
      </c>
      <c r="F282" s="52">
        <v>25905.569999999949</v>
      </c>
      <c r="G282" s="52">
        <f t="shared" ref="G282" si="74">SUM(M282:X282)</f>
        <v>0</v>
      </c>
      <c r="H282" s="52">
        <f t="shared" si="58"/>
        <v>25905.569999999949</v>
      </c>
      <c r="I282" s="86" t="s">
        <v>219</v>
      </c>
    </row>
    <row r="283" spans="1:16" x14ac:dyDescent="0.25">
      <c r="I283" s="86"/>
    </row>
    <row r="284" spans="1:16" x14ac:dyDescent="0.25">
      <c r="C284" s="96" t="s">
        <v>90</v>
      </c>
    </row>
    <row r="285" spans="1:16" x14ac:dyDescent="0.25">
      <c r="A285" s="96" t="s">
        <v>439</v>
      </c>
      <c r="D285" s="96" t="s">
        <v>440</v>
      </c>
      <c r="E285" s="197">
        <v>10707010</v>
      </c>
      <c r="F285" s="52">
        <v>126021.71</v>
      </c>
      <c r="G285" s="52">
        <f t="shared" ref="G285" si="75">SUM(M285:X285)</f>
        <v>0</v>
      </c>
      <c r="H285" s="52">
        <f t="shared" si="58"/>
        <v>126021.71</v>
      </c>
      <c r="I285" s="86" t="s">
        <v>566</v>
      </c>
    </row>
    <row r="287" spans="1:16" x14ac:dyDescent="0.25">
      <c r="A287" s="108" t="s">
        <v>121</v>
      </c>
      <c r="B287" s="108" t="s">
        <v>641</v>
      </c>
      <c r="C287" s="108"/>
      <c r="D287" s="108"/>
      <c r="E287" s="81">
        <v>8917</v>
      </c>
      <c r="F287" s="109">
        <f>SUM(F289:F293)</f>
        <v>1628542.5299999998</v>
      </c>
      <c r="G287" s="109">
        <f t="shared" ref="G287:H287" si="76">SUM(G289:G293)</f>
        <v>0</v>
      </c>
      <c r="H287" s="109">
        <f t="shared" si="76"/>
        <v>1628542.5299999998</v>
      </c>
    </row>
    <row r="288" spans="1:16" x14ac:dyDescent="0.25">
      <c r="A288" s="108"/>
      <c r="B288" s="108"/>
      <c r="C288" s="126" t="s">
        <v>142</v>
      </c>
      <c r="D288" s="108"/>
      <c r="F288" s="115"/>
      <c r="G288" s="115"/>
      <c r="H288" s="115"/>
      <c r="J288" s="77" t="s">
        <v>148</v>
      </c>
    </row>
    <row r="289" spans="1:25" x14ac:dyDescent="0.25">
      <c r="D289" s="96" t="s">
        <v>327</v>
      </c>
      <c r="E289" s="197">
        <v>10703010</v>
      </c>
      <c r="F289" s="52">
        <f>270.7-270.7</f>
        <v>0</v>
      </c>
      <c r="G289" s="52">
        <f t="shared" ref="G289:G293" si="77">SUM(M289:X289)</f>
        <v>0</v>
      </c>
      <c r="H289" s="52">
        <f>F289-G289</f>
        <v>0</v>
      </c>
      <c r="I289" s="86" t="s">
        <v>599</v>
      </c>
    </row>
    <row r="290" spans="1:25" x14ac:dyDescent="0.25">
      <c r="D290" s="96" t="s">
        <v>325</v>
      </c>
      <c r="E290" s="197">
        <v>10703010</v>
      </c>
      <c r="F290" s="52">
        <f>1054009.68-1054009.68</f>
        <v>0</v>
      </c>
      <c r="G290" s="52">
        <f t="shared" si="77"/>
        <v>0</v>
      </c>
      <c r="H290" s="52">
        <f>F290-G290</f>
        <v>0</v>
      </c>
      <c r="I290" s="86" t="s">
        <v>599</v>
      </c>
      <c r="N290" s="52">
        <f>1000+6500+3000+1500+34660+2000+3180.82+399.18+4244+1000+1000+64064</f>
        <v>122548</v>
      </c>
      <c r="O290" s="52">
        <f>25168.7+4958+9916+23112</f>
        <v>63154.7</v>
      </c>
      <c r="P290" s="52">
        <v>-185702.7</v>
      </c>
    </row>
    <row r="291" spans="1:25" x14ac:dyDescent="0.25">
      <c r="D291" s="96" t="s">
        <v>326</v>
      </c>
      <c r="E291" s="197">
        <v>10703010</v>
      </c>
      <c r="F291" s="52">
        <f>706249.91-706249.91</f>
        <v>0</v>
      </c>
      <c r="G291" s="52">
        <f>SUM(M291:X291)</f>
        <v>0</v>
      </c>
      <c r="H291" s="52">
        <f>F291-G291</f>
        <v>0</v>
      </c>
      <c r="I291" s="86" t="s">
        <v>599</v>
      </c>
      <c r="M291" s="52">
        <f>1532.71+12048.78</f>
        <v>13581.490000000002</v>
      </c>
      <c r="N291" s="52">
        <f>27307.61+25449.62+8532.05+5508.2+30659.72+35552.69+6225.23+19080+32158.67+720.26+116.06+7957.28+1136.17+23400+17901.23+120304.65+58755.37+18897.82+27760.91</f>
        <v>467423.54000000004</v>
      </c>
      <c r="O291" s="52">
        <f>31.37+854.01+87.09+4721.15+3267.1+70.62+2388+66.68+10553.32+236.13+5275.12+139.22+4364.37+71.17+3035+113.81+1508.08+2479+6.72+9.01+5625.16+77.6+1407.14+203.66+7237.62</f>
        <v>53828.150000000009</v>
      </c>
      <c r="P291" s="52">
        <v>-534833.18000000005</v>
      </c>
    </row>
    <row r="292" spans="1:25" x14ac:dyDescent="0.25">
      <c r="A292" s="96" t="s">
        <v>284</v>
      </c>
      <c r="D292" s="96" t="s">
        <v>487</v>
      </c>
      <c r="E292" s="197">
        <v>10703010</v>
      </c>
      <c r="F292" s="52">
        <v>1054359.43</v>
      </c>
      <c r="G292" s="52">
        <f t="shared" si="77"/>
        <v>0</v>
      </c>
      <c r="H292" s="52">
        <f>F292-G292</f>
        <v>1054359.43</v>
      </c>
      <c r="I292" s="86" t="s">
        <v>607</v>
      </c>
    </row>
    <row r="293" spans="1:25" x14ac:dyDescent="0.25">
      <c r="A293" s="96" t="s">
        <v>400</v>
      </c>
      <c r="D293" s="96" t="s">
        <v>488</v>
      </c>
      <c r="E293" s="197">
        <v>10703010</v>
      </c>
      <c r="F293" s="52">
        <v>574183.1</v>
      </c>
      <c r="G293" s="52">
        <f t="shared" si="77"/>
        <v>0</v>
      </c>
      <c r="H293" s="52">
        <f>F293-G293</f>
        <v>574183.1</v>
      </c>
      <c r="I293" s="86" t="s">
        <v>607</v>
      </c>
      <c r="M293" s="96"/>
    </row>
    <row r="295" spans="1:25" s="108" customFormat="1" x14ac:dyDescent="0.25">
      <c r="A295" s="108" t="s">
        <v>45</v>
      </c>
      <c r="E295" s="81" t="s">
        <v>0</v>
      </c>
      <c r="F295" s="109">
        <f>+F297</f>
        <v>10953730.850000001</v>
      </c>
      <c r="G295" s="109">
        <f t="shared" ref="G295:H295" si="78">+G297</f>
        <v>7289550.1399999997</v>
      </c>
      <c r="H295" s="109">
        <f t="shared" si="78"/>
        <v>3664180.71</v>
      </c>
      <c r="I295" s="85"/>
      <c r="J295" s="85"/>
      <c r="K295" s="143"/>
      <c r="L295" s="111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</row>
    <row r="297" spans="1:25" x14ac:dyDescent="0.25">
      <c r="A297" s="108" t="s">
        <v>119</v>
      </c>
      <c r="B297" s="108" t="s">
        <v>642</v>
      </c>
      <c r="C297" s="108"/>
      <c r="D297" s="108"/>
      <c r="E297" s="81">
        <v>9940</v>
      </c>
      <c r="F297" s="109">
        <f>SUM(F299:F359)</f>
        <v>10953730.850000001</v>
      </c>
      <c r="G297" s="109">
        <f t="shared" ref="G297" si="79">SUM(G299:G359)</f>
        <v>7289550.1399999997</v>
      </c>
      <c r="H297" s="109">
        <f>SUM(H299:H359)</f>
        <v>3664180.71</v>
      </c>
      <c r="O297" s="131"/>
    </row>
    <row r="298" spans="1:25" x14ac:dyDescent="0.25">
      <c r="A298" s="108"/>
      <c r="C298" s="96" t="s">
        <v>79</v>
      </c>
      <c r="E298" s="77"/>
      <c r="F298" s="98"/>
      <c r="G298" s="98"/>
      <c r="H298" s="98"/>
    </row>
    <row r="299" spans="1:25" x14ac:dyDescent="0.25">
      <c r="A299" s="126" t="s">
        <v>357</v>
      </c>
      <c r="D299" s="96" t="s">
        <v>447</v>
      </c>
      <c r="E299" s="197">
        <v>10701010</v>
      </c>
      <c r="F299" s="52">
        <f>350000-350000</f>
        <v>0</v>
      </c>
      <c r="G299" s="52">
        <f t="shared" ref="G299" si="80">SUM(M299:X299)</f>
        <v>0</v>
      </c>
      <c r="H299" s="52">
        <f t="shared" ref="H299" si="81">F299-G299</f>
        <v>0</v>
      </c>
      <c r="I299" s="210" t="s">
        <v>597</v>
      </c>
      <c r="J299" s="210"/>
      <c r="K299" s="200"/>
      <c r="L299" s="132"/>
      <c r="M299" s="133"/>
      <c r="N299" s="133"/>
    </row>
    <row r="300" spans="1:25" x14ac:dyDescent="0.25">
      <c r="A300" s="126"/>
      <c r="I300" s="200"/>
      <c r="J300" s="200"/>
      <c r="K300" s="200"/>
      <c r="L300" s="132"/>
      <c r="M300" s="133"/>
      <c r="N300" s="133"/>
    </row>
    <row r="301" spans="1:25" x14ac:dyDescent="0.25">
      <c r="C301" s="96" t="s">
        <v>80</v>
      </c>
      <c r="E301" s="77"/>
    </row>
    <row r="302" spans="1:25" x14ac:dyDescent="0.25">
      <c r="D302" s="96" t="s">
        <v>328</v>
      </c>
      <c r="E302" s="197">
        <v>10702990</v>
      </c>
      <c r="F302" s="52">
        <v>1029709</v>
      </c>
      <c r="G302" s="52">
        <f t="shared" ref="G302:G303" si="82">SUM(M302:X302)</f>
        <v>0</v>
      </c>
      <c r="H302" s="52">
        <f>F302-G302</f>
        <v>1029709</v>
      </c>
      <c r="I302" s="198"/>
      <c r="J302" s="87" t="s">
        <v>247</v>
      </c>
      <c r="K302" s="196"/>
      <c r="L302" s="117"/>
      <c r="M302" s="118"/>
      <c r="N302" s="118"/>
    </row>
    <row r="303" spans="1:25" x14ac:dyDescent="0.25">
      <c r="A303" s="96" t="s">
        <v>402</v>
      </c>
      <c r="D303" s="96" t="s">
        <v>448</v>
      </c>
      <c r="E303" s="197">
        <v>10702990</v>
      </c>
      <c r="F303" s="52">
        <f>133402.88-133402.88</f>
        <v>0</v>
      </c>
      <c r="G303" s="52">
        <f t="shared" si="82"/>
        <v>0</v>
      </c>
      <c r="H303" s="52">
        <f>F303-G303</f>
        <v>0</v>
      </c>
      <c r="I303" s="89" t="s">
        <v>591</v>
      </c>
      <c r="J303" s="89"/>
      <c r="M303" s="134"/>
      <c r="N303" s="134"/>
    </row>
    <row r="304" spans="1:25" x14ac:dyDescent="0.25">
      <c r="D304" s="96" t="s">
        <v>289</v>
      </c>
      <c r="E304" s="197" t="s">
        <v>0</v>
      </c>
      <c r="I304" s="198"/>
      <c r="J304" s="198"/>
      <c r="M304" s="131"/>
      <c r="N304" s="131"/>
    </row>
    <row r="305" spans="1:24" x14ac:dyDescent="0.25">
      <c r="C305" s="96" t="s">
        <v>82</v>
      </c>
    </row>
    <row r="306" spans="1:24" x14ac:dyDescent="0.25">
      <c r="A306" s="96" t="s">
        <v>358</v>
      </c>
      <c r="D306" s="96" t="s">
        <v>449</v>
      </c>
      <c r="E306" s="197">
        <v>10703010</v>
      </c>
      <c r="F306" s="52">
        <f>134399.15-134399.15</f>
        <v>0</v>
      </c>
      <c r="G306" s="52">
        <f t="shared" ref="G306:G312" si="83">SUM(M306:X306)</f>
        <v>0</v>
      </c>
      <c r="H306" s="52">
        <f t="shared" ref="H306:H312" si="84">F306-G306</f>
        <v>0</v>
      </c>
      <c r="I306" s="77" t="s">
        <v>592</v>
      </c>
    </row>
    <row r="307" spans="1:24" x14ac:dyDescent="0.25">
      <c r="D307" s="96" t="s">
        <v>482</v>
      </c>
      <c r="E307" s="197">
        <v>10703010</v>
      </c>
      <c r="F307" s="52">
        <f>967643.93-511580.8</f>
        <v>456063.13000000006</v>
      </c>
      <c r="G307" s="52">
        <f>SUM(M307:X307)</f>
        <v>456063.13</v>
      </c>
      <c r="H307" s="52">
        <f t="shared" si="84"/>
        <v>0</v>
      </c>
      <c r="I307" s="89" t="s">
        <v>593</v>
      </c>
      <c r="J307" s="95"/>
      <c r="K307" s="200"/>
      <c r="L307" s="132"/>
      <c r="M307" s="136">
        <v>35259.599999999999</v>
      </c>
      <c r="N307" s="136">
        <f>179199.96+137109.82+104493.75</f>
        <v>420803.53</v>
      </c>
    </row>
    <row r="308" spans="1:24" ht="40.5" x14ac:dyDescent="0.2">
      <c r="D308" s="157" t="s">
        <v>330</v>
      </c>
      <c r="E308" s="160">
        <v>10703010</v>
      </c>
      <c r="F308" s="158">
        <f>164169.58-164169.58</f>
        <v>0</v>
      </c>
      <c r="G308" s="158">
        <f t="shared" si="83"/>
        <v>0</v>
      </c>
      <c r="H308" s="158">
        <f t="shared" si="84"/>
        <v>0</v>
      </c>
      <c r="I308" s="162" t="s">
        <v>593</v>
      </c>
      <c r="J308" s="159"/>
      <c r="K308" s="200" t="s">
        <v>476</v>
      </c>
      <c r="L308" s="132"/>
      <c r="M308" s="136"/>
      <c r="N308" s="136"/>
    </row>
    <row r="309" spans="1:24" x14ac:dyDescent="0.25">
      <c r="D309" s="96" t="s">
        <v>331</v>
      </c>
      <c r="E309" s="197">
        <v>10703010</v>
      </c>
      <c r="F309" s="52">
        <f>455284.98-455284.98</f>
        <v>0</v>
      </c>
      <c r="G309" s="52">
        <f t="shared" si="83"/>
        <v>0</v>
      </c>
      <c r="H309" s="52">
        <f t="shared" si="84"/>
        <v>0</v>
      </c>
      <c r="I309" s="89" t="s">
        <v>593</v>
      </c>
      <c r="J309" s="95"/>
      <c r="K309" s="200"/>
      <c r="L309" s="132"/>
      <c r="M309" s="136"/>
      <c r="N309" s="136"/>
    </row>
    <row r="310" spans="1:24" x14ac:dyDescent="0.25">
      <c r="D310" s="96" t="s">
        <v>332</v>
      </c>
      <c r="E310" s="197">
        <v>10703010</v>
      </c>
      <c r="F310" s="52">
        <f>995370-995370</f>
        <v>0</v>
      </c>
      <c r="G310" s="52">
        <f t="shared" si="83"/>
        <v>0</v>
      </c>
      <c r="H310" s="52">
        <f t="shared" si="84"/>
        <v>0</v>
      </c>
      <c r="I310" s="89" t="s">
        <v>583</v>
      </c>
      <c r="J310" s="95"/>
      <c r="K310" s="200"/>
      <c r="L310" s="132"/>
      <c r="M310" s="136"/>
      <c r="N310" s="136"/>
    </row>
    <row r="311" spans="1:24" x14ac:dyDescent="0.25">
      <c r="D311" s="96" t="s">
        <v>333</v>
      </c>
      <c r="E311" s="197">
        <v>10703010</v>
      </c>
      <c r="F311" s="52">
        <f>121379.54-121379.54</f>
        <v>0</v>
      </c>
      <c r="G311" s="52">
        <f t="shared" si="83"/>
        <v>0</v>
      </c>
      <c r="H311" s="52">
        <f t="shared" si="84"/>
        <v>0</v>
      </c>
      <c r="I311" s="89" t="s">
        <v>593</v>
      </c>
      <c r="J311" s="95"/>
      <c r="K311" s="200"/>
      <c r="L311" s="132"/>
      <c r="M311" s="136"/>
      <c r="N311" s="136"/>
    </row>
    <row r="312" spans="1:24" x14ac:dyDescent="0.25">
      <c r="A312" s="96" t="s">
        <v>383</v>
      </c>
      <c r="D312" s="96" t="s">
        <v>450</v>
      </c>
      <c r="E312" s="197">
        <v>10703010</v>
      </c>
      <c r="F312" s="52">
        <f>110216.37-110216.37</f>
        <v>0</v>
      </c>
      <c r="G312" s="52">
        <f t="shared" si="83"/>
        <v>0</v>
      </c>
      <c r="H312" s="52">
        <f t="shared" si="84"/>
        <v>0</v>
      </c>
      <c r="I312" s="77" t="s">
        <v>592</v>
      </c>
    </row>
    <row r="313" spans="1:24" x14ac:dyDescent="0.25">
      <c r="I313" s="200"/>
      <c r="J313" s="200"/>
      <c r="K313" s="200"/>
      <c r="L313" s="132"/>
      <c r="M313" s="133"/>
      <c r="N313" s="133"/>
    </row>
    <row r="314" spans="1:24" x14ac:dyDescent="0.25">
      <c r="C314" s="126" t="s">
        <v>242</v>
      </c>
      <c r="D314" s="126"/>
      <c r="I314" s="200"/>
      <c r="J314" s="200"/>
      <c r="K314" s="200"/>
      <c r="L314" s="132"/>
      <c r="M314" s="133"/>
      <c r="N314" s="133"/>
    </row>
    <row r="315" spans="1:24" ht="26.25" x14ac:dyDescent="0.25">
      <c r="D315" s="140" t="s">
        <v>451</v>
      </c>
      <c r="E315" s="197">
        <v>10703040</v>
      </c>
      <c r="F315" s="52">
        <v>987094.9</v>
      </c>
      <c r="G315" s="52">
        <f t="shared" ref="G315" si="85">SUM(M315:X315)</f>
        <v>598807</v>
      </c>
      <c r="H315" s="52">
        <f>F315-G315</f>
        <v>388287.9</v>
      </c>
      <c r="I315" s="200"/>
      <c r="J315" s="87" t="s">
        <v>249</v>
      </c>
      <c r="K315" s="196"/>
      <c r="L315" s="117"/>
      <c r="M315" s="118"/>
      <c r="N315" s="118"/>
      <c r="X315" s="52">
        <v>598807</v>
      </c>
    </row>
    <row r="317" spans="1:24" x14ac:dyDescent="0.25">
      <c r="C317" s="96" t="s">
        <v>83</v>
      </c>
    </row>
    <row r="318" spans="1:24" x14ac:dyDescent="0.25">
      <c r="D318" s="96" t="s">
        <v>334</v>
      </c>
      <c r="E318" s="197">
        <v>10704990</v>
      </c>
      <c r="F318" s="52">
        <f>3000000-3000000</f>
        <v>0</v>
      </c>
      <c r="G318" s="52">
        <f t="shared" ref="G318:G322" si="86">SUM(M318:X318)</f>
        <v>0</v>
      </c>
      <c r="H318" s="52">
        <f t="shared" ref="H318:H327" si="87">F318-G318</f>
        <v>0</v>
      </c>
      <c r="I318" s="77" t="s">
        <v>594</v>
      </c>
      <c r="J318" s="87"/>
      <c r="K318" s="196"/>
      <c r="L318" s="117"/>
      <c r="M318" s="118"/>
      <c r="N318" s="118"/>
      <c r="P318" s="96"/>
    </row>
    <row r="319" spans="1:24" ht="13.5" customHeight="1" x14ac:dyDescent="0.25">
      <c r="D319" s="96" t="s">
        <v>453</v>
      </c>
      <c r="E319" s="197">
        <v>10704990</v>
      </c>
      <c r="F319" s="52">
        <v>3000000</v>
      </c>
      <c r="G319" s="52">
        <f t="shared" si="86"/>
        <v>2940790.4299999997</v>
      </c>
      <c r="H319" s="52">
        <f t="shared" si="87"/>
        <v>59209.570000000298</v>
      </c>
      <c r="I319" s="94" t="s">
        <v>629</v>
      </c>
      <c r="J319" s="95"/>
      <c r="K319" s="200"/>
      <c r="L319" s="176"/>
      <c r="M319" s="136"/>
      <c r="N319" s="136"/>
      <c r="P319" s="96"/>
      <c r="Q319" s="52">
        <v>2822180.01</v>
      </c>
      <c r="S319" s="52">
        <v>118610.42</v>
      </c>
    </row>
    <row r="320" spans="1:24" ht="13.5" customHeight="1" x14ac:dyDescent="0.25">
      <c r="D320" s="96" t="s">
        <v>457</v>
      </c>
      <c r="E320" s="197">
        <v>10704990</v>
      </c>
      <c r="F320" s="52">
        <v>3000000</v>
      </c>
      <c r="G320" s="52">
        <f t="shared" si="86"/>
        <v>2941389.58</v>
      </c>
      <c r="H320" s="52">
        <f t="shared" si="87"/>
        <v>58610.419999999925</v>
      </c>
      <c r="I320" s="94" t="s">
        <v>630</v>
      </c>
      <c r="J320" s="95"/>
      <c r="K320" s="200"/>
      <c r="L320" s="132"/>
      <c r="M320" s="136"/>
      <c r="N320" s="136"/>
      <c r="P320" s="96"/>
      <c r="Q320" s="52">
        <v>3000000</v>
      </c>
      <c r="S320" s="52">
        <v>-58610.42</v>
      </c>
    </row>
    <row r="321" spans="1:16" x14ac:dyDescent="0.25">
      <c r="D321" s="96" t="s">
        <v>335</v>
      </c>
      <c r="E321" s="197">
        <v>10704990</v>
      </c>
      <c r="F321" s="52">
        <f>164440.97-85304.97</f>
        <v>79136</v>
      </c>
      <c r="G321" s="52">
        <f t="shared" si="86"/>
        <v>79136</v>
      </c>
      <c r="H321" s="52">
        <f t="shared" si="87"/>
        <v>0</v>
      </c>
      <c r="I321" s="89" t="s">
        <v>593</v>
      </c>
      <c r="J321" s="95"/>
      <c r="K321" s="200"/>
      <c r="L321" s="132"/>
      <c r="M321" s="136">
        <v>79136</v>
      </c>
      <c r="N321" s="136"/>
      <c r="P321" s="96"/>
    </row>
    <row r="322" spans="1:16" x14ac:dyDescent="0.25">
      <c r="A322" s="96" t="s">
        <v>452</v>
      </c>
      <c r="D322" s="96" t="s">
        <v>455</v>
      </c>
      <c r="E322" s="197">
        <v>10704990</v>
      </c>
      <c r="F322" s="52">
        <v>128363.82</v>
      </c>
      <c r="G322" s="52">
        <f t="shared" si="86"/>
        <v>0</v>
      </c>
      <c r="H322" s="52">
        <f t="shared" si="87"/>
        <v>128363.82</v>
      </c>
      <c r="I322" s="77" t="s">
        <v>454</v>
      </c>
      <c r="P322" s="96"/>
    </row>
    <row r="323" spans="1:16" x14ac:dyDescent="0.25">
      <c r="D323" s="96" t="s">
        <v>456</v>
      </c>
      <c r="P323" s="96"/>
    </row>
    <row r="324" spans="1:16" x14ac:dyDescent="0.25">
      <c r="D324" s="96" t="s">
        <v>336</v>
      </c>
      <c r="E324" s="197">
        <v>10704990</v>
      </c>
      <c r="F324" s="52">
        <f>96150.98-41817.98</f>
        <v>54332.999999999993</v>
      </c>
      <c r="G324" s="52">
        <f t="shared" ref="G324:G327" si="88">SUM(M324:X324)</f>
        <v>54333</v>
      </c>
      <c r="H324" s="52">
        <f t="shared" si="87"/>
        <v>0</v>
      </c>
      <c r="I324" s="89" t="s">
        <v>593</v>
      </c>
      <c r="J324" s="95"/>
      <c r="K324" s="200"/>
      <c r="L324" s="132"/>
      <c r="M324" s="136">
        <v>54333</v>
      </c>
      <c r="N324" s="136"/>
      <c r="P324" s="96"/>
    </row>
    <row r="325" spans="1:16" x14ac:dyDescent="0.25">
      <c r="D325" s="96" t="s">
        <v>337</v>
      </c>
      <c r="E325" s="197">
        <v>10704990</v>
      </c>
      <c r="F325" s="52">
        <f>232076.89-116839.89</f>
        <v>115237.00000000001</v>
      </c>
      <c r="G325" s="52">
        <f t="shared" si="88"/>
        <v>115237</v>
      </c>
      <c r="H325" s="52">
        <f t="shared" si="87"/>
        <v>0</v>
      </c>
      <c r="I325" s="89" t="s">
        <v>593</v>
      </c>
      <c r="J325" s="95"/>
      <c r="K325" s="200"/>
      <c r="L325" s="132"/>
      <c r="M325" s="136">
        <v>115237</v>
      </c>
      <c r="N325" s="136"/>
      <c r="P325" s="96"/>
    </row>
    <row r="326" spans="1:16" x14ac:dyDescent="0.25">
      <c r="D326" s="96" t="s">
        <v>338</v>
      </c>
      <c r="E326" s="197">
        <v>10704990</v>
      </c>
      <c r="F326" s="52">
        <f>96287.99-65920.49</f>
        <v>30367.5</v>
      </c>
      <c r="G326" s="52">
        <f t="shared" si="88"/>
        <v>30367.5</v>
      </c>
      <c r="H326" s="52">
        <f t="shared" si="87"/>
        <v>0</v>
      </c>
      <c r="I326" s="89" t="s">
        <v>593</v>
      </c>
      <c r="J326" s="95"/>
      <c r="K326" s="200"/>
      <c r="L326" s="137" t="s">
        <v>513</v>
      </c>
      <c r="M326" s="136">
        <v>30367.5</v>
      </c>
      <c r="N326" s="136"/>
      <c r="P326" s="96"/>
    </row>
    <row r="327" spans="1:16" x14ac:dyDescent="0.25">
      <c r="D327" s="96" t="s">
        <v>339</v>
      </c>
      <c r="E327" s="197">
        <v>10704990</v>
      </c>
      <c r="F327" s="52">
        <f>128233.79-54807.29</f>
        <v>73426.5</v>
      </c>
      <c r="G327" s="52">
        <f t="shared" si="88"/>
        <v>73426.5</v>
      </c>
      <c r="H327" s="52">
        <f t="shared" si="87"/>
        <v>0</v>
      </c>
      <c r="I327" s="89" t="s">
        <v>593</v>
      </c>
      <c r="J327" s="95"/>
      <c r="K327" s="200"/>
      <c r="L327" s="132"/>
      <c r="M327" s="136">
        <v>73426.5</v>
      </c>
      <c r="N327" s="136"/>
      <c r="P327" s="96"/>
    </row>
    <row r="328" spans="1:16" ht="12" customHeight="1" x14ac:dyDescent="0.25">
      <c r="I328" s="198"/>
      <c r="M328" s="52" t="s">
        <v>481</v>
      </c>
    </row>
    <row r="329" spans="1:16" x14ac:dyDescent="0.25">
      <c r="C329" s="96" t="s">
        <v>84</v>
      </c>
    </row>
    <row r="330" spans="1:16" x14ac:dyDescent="0.25">
      <c r="D330" s="96" t="s">
        <v>570</v>
      </c>
      <c r="E330" s="197">
        <v>10705030</v>
      </c>
      <c r="F330" s="52">
        <f>100-100</f>
        <v>0</v>
      </c>
      <c r="G330" s="52">
        <f t="shared" ref="G330" si="89">SUM(M330:X330)</f>
        <v>0</v>
      </c>
      <c r="H330" s="52">
        <f t="shared" ref="H330" si="90">F330-G330</f>
        <v>0</v>
      </c>
      <c r="I330" s="89" t="s">
        <v>593</v>
      </c>
      <c r="J330" s="95"/>
      <c r="K330" s="200"/>
      <c r="L330" s="132"/>
      <c r="M330" s="136"/>
      <c r="N330" s="136"/>
    </row>
    <row r="331" spans="1:16" x14ac:dyDescent="0.25">
      <c r="D331" s="96" t="s">
        <v>571</v>
      </c>
      <c r="I331" s="95"/>
      <c r="J331" s="95"/>
      <c r="K331" s="200"/>
      <c r="L331" s="132"/>
      <c r="M331" s="136"/>
      <c r="N331" s="136"/>
    </row>
    <row r="332" spans="1:16" ht="26.25" x14ac:dyDescent="0.25">
      <c r="D332" s="140" t="s">
        <v>459</v>
      </c>
      <c r="E332" s="197">
        <v>10705030</v>
      </c>
      <c r="F332" s="52">
        <f>210-210</f>
        <v>0</v>
      </c>
      <c r="G332" s="52">
        <f t="shared" ref="G332:G334" si="91">SUM(M332:X332)</f>
        <v>0</v>
      </c>
      <c r="H332" s="52">
        <f t="shared" ref="H332:H334" si="92">F332-G332</f>
        <v>0</v>
      </c>
      <c r="I332" s="89" t="s">
        <v>593</v>
      </c>
      <c r="J332" s="95"/>
      <c r="K332" s="200"/>
      <c r="L332" s="132"/>
      <c r="M332" s="136"/>
      <c r="N332" s="136"/>
    </row>
    <row r="333" spans="1:16" x14ac:dyDescent="0.25">
      <c r="D333" s="96" t="s">
        <v>341</v>
      </c>
      <c r="E333" s="197">
        <v>10705030</v>
      </c>
      <c r="F333" s="52">
        <f>30200-30200</f>
        <v>0</v>
      </c>
      <c r="G333" s="52">
        <f t="shared" si="91"/>
        <v>0</v>
      </c>
      <c r="H333" s="52">
        <f t="shared" si="92"/>
        <v>0</v>
      </c>
      <c r="I333" s="89" t="s">
        <v>593</v>
      </c>
      <c r="J333" s="95"/>
      <c r="K333" s="200"/>
      <c r="L333" s="132"/>
      <c r="M333" s="136"/>
      <c r="N333" s="136"/>
    </row>
    <row r="334" spans="1:16" x14ac:dyDescent="0.25">
      <c r="D334" s="96" t="s">
        <v>568</v>
      </c>
      <c r="E334" s="197">
        <v>10705030</v>
      </c>
      <c r="F334" s="52">
        <f>208005.27-208005.27</f>
        <v>0</v>
      </c>
      <c r="G334" s="52">
        <f t="shared" si="91"/>
        <v>0</v>
      </c>
      <c r="H334" s="52">
        <f t="shared" si="92"/>
        <v>0</v>
      </c>
      <c r="I334" s="89" t="s">
        <v>593</v>
      </c>
      <c r="J334" s="95"/>
      <c r="K334" s="200"/>
      <c r="L334" s="132"/>
      <c r="M334" s="136"/>
      <c r="N334" s="136"/>
    </row>
    <row r="335" spans="1:16" x14ac:dyDescent="0.25">
      <c r="D335" s="96" t="s">
        <v>569</v>
      </c>
      <c r="I335" s="95"/>
      <c r="J335" s="95"/>
      <c r="K335" s="200"/>
      <c r="L335" s="132"/>
      <c r="M335" s="136"/>
      <c r="N335" s="136"/>
    </row>
    <row r="336" spans="1:16" x14ac:dyDescent="0.25">
      <c r="D336" s="96" t="s">
        <v>340</v>
      </c>
      <c r="E336" s="197">
        <v>10705030</v>
      </c>
      <c r="F336" s="52">
        <f>230300-230300</f>
        <v>0</v>
      </c>
      <c r="G336" s="52">
        <f t="shared" ref="G336:G337" si="93">SUM(M336:X336)</f>
        <v>0</v>
      </c>
      <c r="H336" s="52">
        <f t="shared" ref="H336:H337" si="94">F336-G336</f>
        <v>0</v>
      </c>
      <c r="I336" s="77" t="s">
        <v>594</v>
      </c>
      <c r="J336" s="87"/>
      <c r="K336" s="196"/>
      <c r="L336" s="117"/>
      <c r="M336" s="118"/>
      <c r="N336" s="118"/>
    </row>
    <row r="337" spans="1:14" x14ac:dyDescent="0.25">
      <c r="A337" s="96" t="s">
        <v>373</v>
      </c>
      <c r="D337" s="96" t="s">
        <v>458</v>
      </c>
      <c r="E337" s="197">
        <v>10705030</v>
      </c>
      <c r="F337" s="52">
        <f>230300-230300</f>
        <v>0</v>
      </c>
      <c r="G337" s="52">
        <f t="shared" si="93"/>
        <v>0</v>
      </c>
      <c r="H337" s="52">
        <f t="shared" si="94"/>
        <v>0</v>
      </c>
      <c r="I337" s="77" t="s">
        <v>595</v>
      </c>
    </row>
    <row r="338" spans="1:14" x14ac:dyDescent="0.25">
      <c r="I338" s="200"/>
      <c r="J338" s="200"/>
      <c r="K338" s="200"/>
      <c r="L338" s="132"/>
      <c r="M338" s="133"/>
      <c r="N338" s="133"/>
    </row>
    <row r="339" spans="1:14" x14ac:dyDescent="0.25">
      <c r="C339" s="96" t="s">
        <v>86</v>
      </c>
    </row>
    <row r="340" spans="1:14" x14ac:dyDescent="0.25">
      <c r="A340" s="96" t="s">
        <v>371</v>
      </c>
      <c r="D340" s="96" t="s">
        <v>479</v>
      </c>
      <c r="E340" s="197">
        <v>10705040</v>
      </c>
      <c r="F340" s="52">
        <f>36385+98396-134781</f>
        <v>0</v>
      </c>
      <c r="G340" s="52">
        <f t="shared" ref="G340" si="95">SUM(M340:X340)</f>
        <v>0</v>
      </c>
      <c r="H340" s="52">
        <f t="shared" ref="H340" si="96">F340-G340</f>
        <v>0</v>
      </c>
      <c r="I340" s="77" t="s">
        <v>592</v>
      </c>
    </row>
    <row r="342" spans="1:14" x14ac:dyDescent="0.25">
      <c r="C342" s="96" t="s">
        <v>87</v>
      </c>
      <c r="E342" s="77"/>
    </row>
    <row r="343" spans="1:14" x14ac:dyDescent="0.25">
      <c r="A343" s="96" t="s">
        <v>358</v>
      </c>
      <c r="D343" s="96" t="s">
        <v>464</v>
      </c>
      <c r="E343" s="197">
        <v>10705090</v>
      </c>
      <c r="F343" s="52">
        <f>350000-350000</f>
        <v>0</v>
      </c>
      <c r="G343" s="52">
        <f t="shared" ref="G343:G345" si="97">SUM(M343:X343)</f>
        <v>0</v>
      </c>
      <c r="H343" s="52">
        <f t="shared" ref="H343:H345" si="98">F343-G343</f>
        <v>0</v>
      </c>
      <c r="I343" s="77" t="s">
        <v>592</v>
      </c>
    </row>
    <row r="344" spans="1:14" x14ac:dyDescent="0.25">
      <c r="D344" s="96" t="s">
        <v>342</v>
      </c>
      <c r="E344" s="197">
        <v>10705090</v>
      </c>
      <c r="F344" s="52">
        <f>1702676.23-1702676.23</f>
        <v>0</v>
      </c>
      <c r="G344" s="52">
        <f t="shared" si="97"/>
        <v>0</v>
      </c>
      <c r="H344" s="52">
        <f t="shared" si="98"/>
        <v>0</v>
      </c>
      <c r="I344" s="77" t="s">
        <v>594</v>
      </c>
      <c r="J344" s="87"/>
      <c r="K344" s="196"/>
      <c r="L344" s="117"/>
      <c r="M344" s="118"/>
      <c r="N344" s="118"/>
    </row>
    <row r="345" spans="1:14" x14ac:dyDescent="0.25">
      <c r="D345" s="96" t="s">
        <v>343</v>
      </c>
      <c r="E345" s="197">
        <v>10705090</v>
      </c>
      <c r="F345" s="52">
        <v>2000000</v>
      </c>
      <c r="G345" s="52">
        <f t="shared" si="97"/>
        <v>0</v>
      </c>
      <c r="H345" s="52">
        <f t="shared" si="98"/>
        <v>2000000</v>
      </c>
      <c r="I345" s="95" t="s">
        <v>329</v>
      </c>
      <c r="J345" s="95"/>
      <c r="K345" s="200"/>
      <c r="L345" s="132"/>
      <c r="M345" s="136"/>
      <c r="N345" s="136"/>
    </row>
    <row r="347" spans="1:14" x14ac:dyDescent="0.25">
      <c r="C347" s="96" t="s">
        <v>88</v>
      </c>
    </row>
    <row r="348" spans="1:14" x14ac:dyDescent="0.25">
      <c r="D348" s="96" t="s">
        <v>553</v>
      </c>
      <c r="E348" s="197">
        <v>10705140</v>
      </c>
      <c r="F348" s="52">
        <f>1000000-1000000</f>
        <v>0</v>
      </c>
      <c r="G348" s="52">
        <f t="shared" ref="G348:G353" si="99">SUM(M348:X348)</f>
        <v>0</v>
      </c>
      <c r="H348" s="52">
        <f t="shared" ref="H348:H349" si="100">F348-G348</f>
        <v>0</v>
      </c>
      <c r="I348" s="77" t="s">
        <v>597</v>
      </c>
    </row>
    <row r="349" spans="1:14" x14ac:dyDescent="0.25">
      <c r="D349" s="96" t="s">
        <v>467</v>
      </c>
      <c r="E349" s="197">
        <v>10705140</v>
      </c>
      <c r="F349" s="52">
        <f>500000-500000</f>
        <v>0</v>
      </c>
      <c r="G349" s="52">
        <f t="shared" si="99"/>
        <v>0</v>
      </c>
      <c r="H349" s="52">
        <f t="shared" si="100"/>
        <v>0</v>
      </c>
      <c r="I349" s="89" t="s">
        <v>593</v>
      </c>
      <c r="J349" s="95"/>
      <c r="K349" s="200"/>
      <c r="L349" s="132"/>
      <c r="M349" s="136"/>
      <c r="N349" s="136"/>
    </row>
    <row r="350" spans="1:14" x14ac:dyDescent="0.25">
      <c r="D350" s="96" t="s">
        <v>468</v>
      </c>
      <c r="I350" s="95"/>
      <c r="J350" s="95"/>
      <c r="K350" s="200"/>
      <c r="L350" s="132"/>
      <c r="M350" s="136"/>
      <c r="N350" s="136"/>
    </row>
    <row r="351" spans="1:14" x14ac:dyDescent="0.25">
      <c r="D351" s="96" t="s">
        <v>550</v>
      </c>
      <c r="E351" s="197">
        <v>10705140</v>
      </c>
      <c r="F351" s="52">
        <f>600000-600000</f>
        <v>0</v>
      </c>
      <c r="G351" s="52">
        <f t="shared" si="99"/>
        <v>0</v>
      </c>
      <c r="H351" s="52">
        <f t="shared" ref="H351:H353" si="101">F351-G351</f>
        <v>0</v>
      </c>
      <c r="I351" s="77" t="s">
        <v>595</v>
      </c>
    </row>
    <row r="352" spans="1:14" x14ac:dyDescent="0.25">
      <c r="D352" s="96" t="s">
        <v>465</v>
      </c>
      <c r="E352" s="197">
        <v>10705140</v>
      </c>
      <c r="F352" s="52">
        <f>300000-300000</f>
        <v>0</v>
      </c>
      <c r="G352" s="52">
        <f t="shared" si="99"/>
        <v>0</v>
      </c>
      <c r="H352" s="52">
        <f t="shared" si="101"/>
        <v>0</v>
      </c>
      <c r="I352" s="77" t="s">
        <v>596</v>
      </c>
    </row>
    <row r="353" spans="3:25" x14ac:dyDescent="0.25">
      <c r="D353" s="96" t="s">
        <v>466</v>
      </c>
      <c r="E353" s="197">
        <v>10705140</v>
      </c>
      <c r="F353" s="52">
        <f>252000-252000</f>
        <v>0</v>
      </c>
      <c r="G353" s="52">
        <f t="shared" si="99"/>
        <v>0</v>
      </c>
      <c r="H353" s="52">
        <f t="shared" si="101"/>
        <v>0</v>
      </c>
      <c r="I353" s="77" t="s">
        <v>595</v>
      </c>
    </row>
    <row r="355" spans="3:25" x14ac:dyDescent="0.25">
      <c r="C355" s="126" t="s">
        <v>89</v>
      </c>
      <c r="D355" s="126"/>
    </row>
    <row r="356" spans="3:25" x14ac:dyDescent="0.25">
      <c r="D356" s="96" t="s">
        <v>344</v>
      </c>
      <c r="E356" s="197">
        <v>10706010</v>
      </c>
      <c r="F356" s="52">
        <f>3500000-3500000</f>
        <v>0</v>
      </c>
      <c r="G356" s="52">
        <f t="shared" ref="G356" si="102">SUM(M356:X356)</f>
        <v>0</v>
      </c>
      <c r="H356" s="52">
        <f>F356-G356</f>
        <v>0</v>
      </c>
      <c r="I356" s="77" t="s">
        <v>594</v>
      </c>
      <c r="J356" s="87"/>
      <c r="K356" s="196"/>
      <c r="L356" s="117"/>
      <c r="M356" s="118"/>
      <c r="N356" s="118"/>
    </row>
    <row r="358" spans="3:25" x14ac:dyDescent="0.25">
      <c r="C358" s="126" t="s">
        <v>117</v>
      </c>
      <c r="D358" s="126"/>
    </row>
    <row r="359" spans="3:25" ht="13.5" customHeight="1" x14ac:dyDescent="0.25">
      <c r="D359" s="96" t="s">
        <v>552</v>
      </c>
      <c r="E359" s="197">
        <v>10799990</v>
      </c>
      <c r="F359" s="52">
        <f>110000-110000</f>
        <v>0</v>
      </c>
      <c r="G359" s="52">
        <f t="shared" ref="G359" si="103">SUM(M359:X359)</f>
        <v>0</v>
      </c>
      <c r="H359" s="52">
        <f>F359-G359</f>
        <v>0</v>
      </c>
      <c r="I359" s="89" t="s">
        <v>593</v>
      </c>
      <c r="J359" s="95"/>
      <c r="K359" s="200"/>
      <c r="L359" s="132"/>
      <c r="M359" s="133"/>
      <c r="N359" s="133"/>
    </row>
    <row r="360" spans="3:25" x14ac:dyDescent="0.25">
      <c r="D360" s="96" t="s">
        <v>289</v>
      </c>
      <c r="I360" s="200"/>
      <c r="J360" s="200"/>
      <c r="K360" s="200"/>
      <c r="L360" s="132"/>
      <c r="M360" s="133"/>
      <c r="N360" s="133"/>
    </row>
    <row r="361" spans="3:25" x14ac:dyDescent="0.25">
      <c r="I361" s="200"/>
      <c r="J361" s="200"/>
      <c r="K361" s="200"/>
      <c r="L361" s="132"/>
      <c r="M361" s="133"/>
      <c r="N361" s="133"/>
    </row>
    <row r="362" spans="3:25" x14ac:dyDescent="0.25">
      <c r="I362" s="200"/>
      <c r="J362" s="200"/>
      <c r="K362" s="200"/>
      <c r="L362" s="132"/>
      <c r="M362" s="133"/>
      <c r="N362" s="133"/>
    </row>
    <row r="363" spans="3:25" x14ac:dyDescent="0.25">
      <c r="I363" s="200"/>
      <c r="J363" s="200"/>
      <c r="K363" s="200"/>
      <c r="L363" s="132"/>
      <c r="M363" s="133"/>
      <c r="N363" s="133"/>
    </row>
    <row r="364" spans="3:25" x14ac:dyDescent="0.25">
      <c r="I364" s="200"/>
      <c r="J364" s="200"/>
      <c r="K364" s="200"/>
      <c r="L364" s="132"/>
      <c r="M364" s="133"/>
      <c r="N364" s="133"/>
    </row>
    <row r="365" spans="3:25" x14ac:dyDescent="0.25">
      <c r="I365" s="200"/>
      <c r="J365" s="200"/>
      <c r="K365" s="200"/>
      <c r="L365" s="132"/>
      <c r="M365" s="133"/>
      <c r="N365" s="133"/>
    </row>
    <row r="366" spans="3:25" x14ac:dyDescent="0.25">
      <c r="I366" s="200"/>
      <c r="J366" s="200"/>
      <c r="K366" s="200"/>
      <c r="L366" s="132"/>
      <c r="M366" s="133"/>
      <c r="N366" s="133"/>
    </row>
    <row r="367" spans="3:25" x14ac:dyDescent="0.25">
      <c r="D367" s="137" t="s">
        <v>575</v>
      </c>
      <c r="E367" s="198" t="s">
        <v>576</v>
      </c>
      <c r="G367" s="131" t="s">
        <v>150</v>
      </c>
      <c r="I367" s="146" t="s">
        <v>149</v>
      </c>
      <c r="T367" s="96"/>
      <c r="U367" s="96"/>
      <c r="V367" s="96"/>
      <c r="W367" s="96"/>
      <c r="X367" s="96"/>
      <c r="Y367" s="96"/>
    </row>
    <row r="368" spans="3:25" x14ac:dyDescent="0.25">
      <c r="D368" s="137"/>
      <c r="G368" s="131"/>
      <c r="H368" s="191"/>
      <c r="P368" s="96"/>
      <c r="Q368" s="96"/>
      <c r="R368" s="96"/>
      <c r="S368" s="96"/>
      <c r="T368" s="96"/>
      <c r="U368" s="96"/>
      <c r="V368" s="96"/>
      <c r="W368" s="96"/>
      <c r="X368" s="96"/>
      <c r="Y368" s="96"/>
    </row>
    <row r="369" spans="4:25" x14ac:dyDescent="0.25">
      <c r="D369" s="96" t="s">
        <v>661</v>
      </c>
      <c r="E369" s="203" t="s">
        <v>662</v>
      </c>
      <c r="F369" s="203"/>
      <c r="J369" s="197" t="s">
        <v>662</v>
      </c>
    </row>
    <row r="370" spans="4:25" ht="13.5" customHeight="1" x14ac:dyDescent="0.2">
      <c r="D370" s="108" t="s">
        <v>577</v>
      </c>
      <c r="E370" s="208" t="s">
        <v>147</v>
      </c>
      <c r="F370" s="208"/>
      <c r="I370" s="208" t="s">
        <v>241</v>
      </c>
      <c r="J370" s="208"/>
      <c r="K370" s="208"/>
      <c r="L370" s="139"/>
      <c r="M370" s="190"/>
      <c r="N370" s="190"/>
      <c r="P370" s="96"/>
      <c r="Q370" s="96"/>
      <c r="R370" s="96"/>
      <c r="S370" s="96"/>
      <c r="T370" s="96"/>
      <c r="U370" s="96"/>
      <c r="V370" s="96"/>
      <c r="W370" s="96"/>
      <c r="X370" s="96"/>
      <c r="Y370" s="96"/>
    </row>
    <row r="371" spans="4:25" ht="13.5" customHeight="1" x14ac:dyDescent="0.2">
      <c r="D371" s="96" t="s">
        <v>578</v>
      </c>
      <c r="E371" s="209" t="s">
        <v>225</v>
      </c>
      <c r="F371" s="209"/>
      <c r="I371" s="209" t="s">
        <v>146</v>
      </c>
      <c r="J371" s="209"/>
      <c r="K371" s="209"/>
      <c r="L371" s="131"/>
      <c r="M371" s="191"/>
      <c r="N371" s="191"/>
      <c r="P371" s="96"/>
      <c r="Q371" s="96"/>
      <c r="R371" s="96"/>
      <c r="S371" s="96"/>
      <c r="T371" s="96"/>
      <c r="U371" s="96"/>
      <c r="V371" s="96"/>
      <c r="W371" s="96"/>
      <c r="X371" s="96"/>
      <c r="Y371" s="96"/>
    </row>
  </sheetData>
  <sheetProtection sheet="1" objects="1" scenarios="1"/>
  <sortState ref="A298:Z321">
    <sortCondition ref="D161:D184"/>
  </sortState>
  <mergeCells count="22">
    <mergeCell ref="E370:F370"/>
    <mergeCell ref="E371:F371"/>
    <mergeCell ref="I299:J299"/>
    <mergeCell ref="A13:D13"/>
    <mergeCell ref="I48:J48"/>
    <mergeCell ref="I370:K370"/>
    <mergeCell ref="I371:K371"/>
    <mergeCell ref="H12:H13"/>
    <mergeCell ref="G12:G13"/>
    <mergeCell ref="F12:F13"/>
    <mergeCell ref="I52:J52"/>
    <mergeCell ref="I54:J54"/>
    <mergeCell ref="E369:F369"/>
    <mergeCell ref="A2:K2"/>
    <mergeCell ref="A3:K3"/>
    <mergeCell ref="A4:K4"/>
    <mergeCell ref="A5:K5"/>
    <mergeCell ref="A7:K7"/>
    <mergeCell ref="A8:K8"/>
    <mergeCell ref="I12:K12"/>
    <mergeCell ref="A9:K9"/>
    <mergeCell ref="A10:K10"/>
  </mergeCells>
  <pageMargins left="0.4" right="0.5" top="0.78740157480314998" bottom="0.75" header="0.31496062992126" footer="0.4"/>
  <pageSetup paperSize="9" orientation="landscape" r:id="rId1"/>
  <headerFooter>
    <oddFooter>&amp;CPage &amp;P of 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69"/>
  <sheetViews>
    <sheetView zoomScale="120" zoomScaleNormal="120" workbookViewId="0">
      <pane xSplit="4" topLeftCell="E1" activePane="topRight" state="frozen"/>
      <selection pane="topRight" activeCell="F15" sqref="F15:H15"/>
    </sheetView>
  </sheetViews>
  <sheetFormatPr defaultRowHeight="13.5" x14ac:dyDescent="0.25"/>
  <cols>
    <col min="1" max="1" width="2.6640625" style="96" customWidth="1"/>
    <col min="2" max="2" width="5.33203125" style="96" customWidth="1"/>
    <col min="3" max="3" width="8.1640625" style="96" customWidth="1"/>
    <col min="4" max="4" width="64.6640625" style="96" customWidth="1"/>
    <col min="5" max="5" width="8" style="77" customWidth="1"/>
    <col min="6" max="8" width="14.5" style="52" customWidth="1"/>
    <col min="9" max="9" width="1.1640625" style="96" customWidth="1"/>
    <col min="10" max="10" width="9.33203125" style="77"/>
    <col min="11" max="11" width="14.1640625" style="77" customWidth="1"/>
    <col min="12" max="12" width="10" style="149" customWidth="1"/>
    <col min="13" max="13" width="9.33203125" style="96" customWidth="1"/>
    <col min="14" max="14" width="11.1640625" style="96" bestFit="1" customWidth="1"/>
    <col min="15" max="16" width="9.6640625" style="96" bestFit="1" customWidth="1"/>
    <col min="17" max="16384" width="9.33203125" style="96"/>
  </cols>
  <sheetData>
    <row r="2" spans="1:16" ht="12.75" x14ac:dyDescent="0.2">
      <c r="A2" s="206" t="s">
        <v>63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30"/>
    </row>
    <row r="3" spans="1:16" ht="12.75" x14ac:dyDescent="0.2">
      <c r="A3" s="206" t="s">
        <v>240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30"/>
    </row>
    <row r="4" spans="1:16" ht="12.75" x14ac:dyDescent="0.2">
      <c r="A4" s="206" t="s">
        <v>185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30"/>
    </row>
    <row r="5" spans="1:16" ht="12.75" x14ac:dyDescent="0.2">
      <c r="A5" s="222" t="s">
        <v>471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73"/>
    </row>
    <row r="6" spans="1:16" ht="7.5" customHeight="1" x14ac:dyDescent="0.25">
      <c r="A6" s="74"/>
      <c r="B6" s="74"/>
      <c r="C6" s="74"/>
      <c r="D6" s="74"/>
      <c r="E6" s="78"/>
      <c r="F6" s="71"/>
      <c r="G6" s="71"/>
      <c r="H6" s="71"/>
      <c r="I6" s="74"/>
      <c r="J6" s="147"/>
      <c r="K6" s="147"/>
    </row>
    <row r="7" spans="1:16" ht="12.75" x14ac:dyDescent="0.2">
      <c r="A7" s="206" t="s">
        <v>66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30"/>
    </row>
    <row r="8" spans="1:16" ht="12.75" x14ac:dyDescent="0.2">
      <c r="A8" s="207" t="s">
        <v>558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58"/>
    </row>
    <row r="9" spans="1:16" ht="12.75" x14ac:dyDescent="0.2">
      <c r="A9" s="214" t="s">
        <v>68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57"/>
    </row>
    <row r="10" spans="1:16" ht="12.75" x14ac:dyDescent="0.2">
      <c r="A10" s="206" t="str">
        <f>+GF!A10</f>
        <v>as of December 31, 2020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30"/>
    </row>
    <row r="12" spans="1:16" x14ac:dyDescent="0.25">
      <c r="H12" s="102"/>
      <c r="I12" s="103"/>
      <c r="J12" s="213" t="s">
        <v>76</v>
      </c>
      <c r="K12" s="213"/>
      <c r="L12" s="213"/>
    </row>
    <row r="13" spans="1:16" ht="40.5" x14ac:dyDescent="0.25">
      <c r="A13" s="223" t="s">
        <v>71</v>
      </c>
      <c r="B13" s="223"/>
      <c r="C13" s="223"/>
      <c r="D13" s="223"/>
      <c r="E13" s="84" t="s">
        <v>72</v>
      </c>
      <c r="F13" s="105" t="s">
        <v>73</v>
      </c>
      <c r="G13" s="105" t="s">
        <v>74</v>
      </c>
      <c r="H13" s="144" t="s">
        <v>574</v>
      </c>
      <c r="I13" s="106"/>
      <c r="J13" s="84" t="s">
        <v>77</v>
      </c>
      <c r="K13" s="84" t="s">
        <v>78</v>
      </c>
      <c r="L13" s="145" t="s">
        <v>478</v>
      </c>
    </row>
    <row r="14" spans="1:16" x14ac:dyDescent="0.25">
      <c r="N14" s="96" t="s">
        <v>548</v>
      </c>
    </row>
    <row r="15" spans="1:16" s="108" customFormat="1" x14ac:dyDescent="0.25">
      <c r="A15" s="108" t="s">
        <v>194</v>
      </c>
      <c r="E15" s="81" t="s">
        <v>0</v>
      </c>
      <c r="F15" s="109">
        <f>+F18+F60+F155+F32+F262</f>
        <v>118755426.31999999</v>
      </c>
      <c r="G15" s="109">
        <f>+G18+G60+G155+G32+G262</f>
        <v>83935711.789999992</v>
      </c>
      <c r="H15" s="109">
        <f>+H18+H60+H155+H32+H262</f>
        <v>34819714.530000001</v>
      </c>
      <c r="I15" s="110"/>
      <c r="J15" s="85"/>
      <c r="K15" s="85"/>
      <c r="L15" s="150"/>
      <c r="N15" s="148">
        <f>+F15-GF!F15</f>
        <v>0</v>
      </c>
      <c r="O15" s="148">
        <f>+G15-GF!G15</f>
        <v>0</v>
      </c>
      <c r="P15" s="148">
        <f>+H15-GF!H15</f>
        <v>0</v>
      </c>
    </row>
    <row r="16" spans="1:16" x14ac:dyDescent="0.25">
      <c r="E16" s="82"/>
      <c r="I16" s="112"/>
      <c r="N16" s="96" t="s">
        <v>549</v>
      </c>
    </row>
    <row r="17" spans="1:13" ht="12.75" x14ac:dyDescent="0.2">
      <c r="A17" s="221" t="s">
        <v>190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57"/>
    </row>
    <row r="18" spans="1:13" s="108" customFormat="1" x14ac:dyDescent="0.25">
      <c r="A18" s="108" t="s">
        <v>113</v>
      </c>
      <c r="E18" s="81" t="s">
        <v>0</v>
      </c>
      <c r="F18" s="109">
        <f>+F20+F25</f>
        <v>585045</v>
      </c>
      <c r="G18" s="109">
        <f t="shared" ref="G18:H18" si="0">+G20+G25</f>
        <v>0</v>
      </c>
      <c r="H18" s="109">
        <f t="shared" si="0"/>
        <v>585045</v>
      </c>
      <c r="I18" s="110"/>
      <c r="J18" s="85"/>
      <c r="K18" s="85"/>
      <c r="L18" s="150"/>
    </row>
    <row r="19" spans="1:13" x14ac:dyDescent="0.25">
      <c r="A19" s="75"/>
      <c r="B19" s="75"/>
      <c r="C19" s="75"/>
      <c r="D19" s="75"/>
      <c r="E19" s="82"/>
      <c r="I19" s="112"/>
    </row>
    <row r="20" spans="1:13" x14ac:dyDescent="0.25">
      <c r="A20" s="108" t="s">
        <v>123</v>
      </c>
      <c r="E20" s="82"/>
      <c r="F20" s="109">
        <f>+F22</f>
        <v>585045</v>
      </c>
      <c r="G20" s="109">
        <f t="shared" ref="G20:H20" si="1">+G22</f>
        <v>0</v>
      </c>
      <c r="H20" s="109">
        <f t="shared" si="1"/>
        <v>585045</v>
      </c>
      <c r="I20" s="112"/>
    </row>
    <row r="21" spans="1:13" x14ac:dyDescent="0.25">
      <c r="E21" s="82"/>
      <c r="I21" s="112"/>
    </row>
    <row r="22" spans="1:13" x14ac:dyDescent="0.25">
      <c r="B22" s="108" t="s">
        <v>192</v>
      </c>
      <c r="E22" s="81">
        <v>4421</v>
      </c>
      <c r="F22" s="109">
        <f>+F23</f>
        <v>585045</v>
      </c>
      <c r="G22" s="109">
        <f t="shared" ref="G22:H22" si="2">+G23</f>
        <v>0</v>
      </c>
      <c r="H22" s="109">
        <f t="shared" si="2"/>
        <v>585045</v>
      </c>
      <c r="I22" s="112"/>
    </row>
    <row r="23" spans="1:13" x14ac:dyDescent="0.25">
      <c r="A23" s="96" t="s">
        <v>122</v>
      </c>
      <c r="E23" s="82">
        <v>10704990</v>
      </c>
      <c r="F23" s="52">
        <f>+GF!F243</f>
        <v>585045</v>
      </c>
      <c r="G23" s="52">
        <f>+GF!G243</f>
        <v>0</v>
      </c>
      <c r="H23" s="52">
        <f>+GF!H243</f>
        <v>585045</v>
      </c>
      <c r="I23" s="112"/>
      <c r="K23" s="87" t="s">
        <v>140</v>
      </c>
    </row>
    <row r="24" spans="1:13" x14ac:dyDescent="0.25">
      <c r="E24" s="82"/>
      <c r="I24" s="112"/>
    </row>
    <row r="25" spans="1:13" s="108" customFormat="1" ht="12" customHeight="1" x14ac:dyDescent="0.25">
      <c r="A25" s="108" t="s">
        <v>45</v>
      </c>
      <c r="E25" s="81" t="s">
        <v>0</v>
      </c>
      <c r="F25" s="109">
        <f>+F27</f>
        <v>0</v>
      </c>
      <c r="G25" s="109">
        <f t="shared" ref="G25:H25" si="3">+G27</f>
        <v>0</v>
      </c>
      <c r="H25" s="109">
        <f t="shared" si="3"/>
        <v>0</v>
      </c>
      <c r="I25" s="110"/>
      <c r="J25" s="85"/>
      <c r="K25" s="85"/>
      <c r="L25" s="150"/>
    </row>
    <row r="26" spans="1:13" x14ac:dyDescent="0.25">
      <c r="E26" s="82"/>
      <c r="I26" s="112"/>
    </row>
    <row r="27" spans="1:13" ht="12" customHeight="1" x14ac:dyDescent="0.25">
      <c r="A27" s="108" t="s">
        <v>119</v>
      </c>
      <c r="B27" s="108" t="s">
        <v>193</v>
      </c>
      <c r="C27" s="108"/>
      <c r="D27" s="108"/>
      <c r="E27" s="81">
        <v>9940</v>
      </c>
      <c r="F27" s="109">
        <f>SUM(F28:F29)</f>
        <v>0</v>
      </c>
      <c r="G27" s="109">
        <f>SUM(G28:G29)</f>
        <v>0</v>
      </c>
      <c r="H27" s="109">
        <f>SUM(H28:H29)</f>
        <v>0</v>
      </c>
      <c r="I27" s="110"/>
    </row>
    <row r="28" spans="1:13" s="52" customFormat="1" x14ac:dyDescent="0.25">
      <c r="A28" s="96"/>
      <c r="B28" s="96"/>
      <c r="C28" s="96" t="s">
        <v>88</v>
      </c>
      <c r="D28" s="96"/>
      <c r="E28" s="76"/>
      <c r="I28" s="96"/>
      <c r="J28" s="77"/>
      <c r="K28" s="77"/>
      <c r="L28" s="149"/>
    </row>
    <row r="29" spans="1:13" s="52" customFormat="1" x14ac:dyDescent="0.25">
      <c r="A29" s="96" t="s">
        <v>60</v>
      </c>
      <c r="B29" s="96"/>
      <c r="C29" s="96"/>
      <c r="D29" s="96"/>
      <c r="E29" s="82">
        <v>10705140</v>
      </c>
      <c r="F29" s="52">
        <f>+GF!F352</f>
        <v>0</v>
      </c>
      <c r="G29" s="52">
        <f>+GF!G352</f>
        <v>0</v>
      </c>
      <c r="H29" s="52">
        <f>+GF!H352</f>
        <v>0</v>
      </c>
      <c r="I29" s="96"/>
      <c r="J29" s="77" t="str">
        <f>+GF!I352</f>
        <v>AB 2015 Re-aligned SB#3 2020</v>
      </c>
      <c r="K29" s="77"/>
      <c r="L29" s="149"/>
    </row>
    <row r="30" spans="1:13" x14ac:dyDescent="0.25">
      <c r="E30" s="82"/>
      <c r="I30" s="112"/>
    </row>
    <row r="31" spans="1:13" ht="12.75" x14ac:dyDescent="0.2">
      <c r="A31" s="221" t="s">
        <v>189</v>
      </c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57"/>
    </row>
    <row r="32" spans="1:13" s="108" customFormat="1" x14ac:dyDescent="0.25">
      <c r="A32" s="108" t="s">
        <v>113</v>
      </c>
      <c r="E32" s="81" t="s">
        <v>0</v>
      </c>
      <c r="F32" s="109">
        <f>+F41+F47+F34</f>
        <v>351385.53</v>
      </c>
      <c r="G32" s="109">
        <f>+G41+G47+G34</f>
        <v>0</v>
      </c>
      <c r="H32" s="109">
        <f>+H41+H47+H34</f>
        <v>351385.53</v>
      </c>
      <c r="I32" s="110"/>
      <c r="J32" s="85"/>
      <c r="K32" s="85"/>
      <c r="L32" s="150"/>
    </row>
    <row r="33" spans="1:12" s="108" customFormat="1" x14ac:dyDescent="0.25">
      <c r="E33" s="81"/>
      <c r="F33" s="115"/>
      <c r="G33" s="115"/>
      <c r="H33" s="115"/>
      <c r="I33" s="110"/>
      <c r="J33" s="85"/>
      <c r="K33" s="85"/>
      <c r="L33" s="150"/>
    </row>
    <row r="34" spans="1:12" s="108" customFormat="1" x14ac:dyDescent="0.25">
      <c r="A34" s="108" t="s">
        <v>191</v>
      </c>
      <c r="E34" s="81" t="s">
        <v>0</v>
      </c>
      <c r="F34" s="109">
        <f>F36</f>
        <v>97000</v>
      </c>
      <c r="G34" s="109">
        <f t="shared" ref="G34:H34" si="4">G36</f>
        <v>0</v>
      </c>
      <c r="H34" s="109">
        <f t="shared" si="4"/>
        <v>97000</v>
      </c>
      <c r="I34" s="110"/>
      <c r="J34" s="85"/>
      <c r="K34" s="85"/>
      <c r="L34" s="150"/>
    </row>
    <row r="35" spans="1:12" x14ac:dyDescent="0.25">
      <c r="E35" s="82"/>
      <c r="I35" s="112"/>
      <c r="J35" s="86"/>
    </row>
    <row r="36" spans="1:12" s="108" customFormat="1" x14ac:dyDescent="0.25">
      <c r="A36" s="108" t="s">
        <v>119</v>
      </c>
      <c r="B36" s="108" t="s">
        <v>526</v>
      </c>
      <c r="D36" s="96"/>
      <c r="E36" s="81">
        <v>1061</v>
      </c>
      <c r="F36" s="109">
        <f>SUM(F37:F39)</f>
        <v>97000</v>
      </c>
      <c r="G36" s="109">
        <f t="shared" ref="G36:H36" si="5">SUM(G37:G39)</f>
        <v>0</v>
      </c>
      <c r="H36" s="109">
        <f t="shared" si="5"/>
        <v>97000</v>
      </c>
      <c r="I36" s="112"/>
      <c r="J36" s="77"/>
      <c r="K36" s="87"/>
      <c r="L36" s="150"/>
    </row>
    <row r="37" spans="1:12" s="108" customFormat="1" x14ac:dyDescent="0.25">
      <c r="C37" s="96" t="s">
        <v>84</v>
      </c>
      <c r="D37" s="96"/>
      <c r="E37" s="170">
        <v>10705030</v>
      </c>
      <c r="F37" s="153">
        <f>+GF!F125</f>
        <v>90000</v>
      </c>
      <c r="G37" s="153">
        <f>+GF!G125</f>
        <v>0</v>
      </c>
      <c r="H37" s="153">
        <f>+GF!H125</f>
        <v>90000</v>
      </c>
      <c r="I37" s="112"/>
      <c r="J37" s="77"/>
      <c r="K37" s="87" t="str">
        <f>+GF!J125</f>
        <v>SB#1 2016</v>
      </c>
      <c r="L37" s="150"/>
    </row>
    <row r="38" spans="1:12" s="108" customFormat="1" x14ac:dyDescent="0.25">
      <c r="C38" s="96" t="s">
        <v>199</v>
      </c>
      <c r="D38" s="96"/>
      <c r="E38" s="85"/>
      <c r="F38" s="115"/>
      <c r="G38" s="115"/>
      <c r="H38" s="115"/>
      <c r="I38" s="112"/>
      <c r="J38" s="77"/>
      <c r="K38" s="87"/>
      <c r="L38" s="150"/>
    </row>
    <row r="39" spans="1:12" s="108" customFormat="1" x14ac:dyDescent="0.25">
      <c r="A39" s="96" t="s">
        <v>233</v>
      </c>
      <c r="B39" s="96"/>
      <c r="C39" s="96"/>
      <c r="D39" s="96"/>
      <c r="E39" s="82">
        <v>10705990</v>
      </c>
      <c r="F39" s="52">
        <f>+GF!F127</f>
        <v>7000</v>
      </c>
      <c r="G39" s="52">
        <f>+GF!G127</f>
        <v>0</v>
      </c>
      <c r="H39" s="52">
        <f>+GF!H127</f>
        <v>7000</v>
      </c>
      <c r="I39" s="112"/>
      <c r="J39" s="77" t="str">
        <f>+GF!I127</f>
        <v>AB 2016</v>
      </c>
      <c r="K39" s="87"/>
      <c r="L39" s="150"/>
    </row>
    <row r="40" spans="1:12" s="108" customFormat="1" x14ac:dyDescent="0.25">
      <c r="E40" s="81"/>
      <c r="F40" s="115"/>
      <c r="G40" s="115"/>
      <c r="H40" s="115"/>
      <c r="I40" s="110"/>
      <c r="J40" s="85"/>
      <c r="K40" s="85"/>
      <c r="L40" s="150"/>
    </row>
    <row r="41" spans="1:12" s="108" customFormat="1" x14ac:dyDescent="0.25">
      <c r="A41" s="108" t="s">
        <v>31</v>
      </c>
      <c r="E41" s="81" t="s">
        <v>0</v>
      </c>
      <c r="F41" s="109">
        <f>+F43</f>
        <v>126021.71</v>
      </c>
      <c r="G41" s="109">
        <f t="shared" ref="G41:H41" si="6">+G43</f>
        <v>0</v>
      </c>
      <c r="H41" s="109">
        <f t="shared" si="6"/>
        <v>126021.71</v>
      </c>
      <c r="I41" s="110"/>
      <c r="J41" s="85"/>
      <c r="K41" s="85"/>
      <c r="L41" s="150"/>
    </row>
    <row r="42" spans="1:12" s="108" customFormat="1" x14ac:dyDescent="0.25">
      <c r="E42" s="81"/>
      <c r="F42" s="115"/>
      <c r="G42" s="115"/>
      <c r="H42" s="115"/>
      <c r="I42" s="110"/>
      <c r="J42" s="85"/>
      <c r="K42" s="85"/>
      <c r="L42" s="150"/>
    </row>
    <row r="43" spans="1:12" x14ac:dyDescent="0.25">
      <c r="A43" s="108" t="s">
        <v>119</v>
      </c>
      <c r="B43" s="108" t="s">
        <v>527</v>
      </c>
      <c r="C43" s="108"/>
      <c r="D43" s="108"/>
      <c r="E43" s="81">
        <v>8751</v>
      </c>
      <c r="F43" s="109">
        <f>SUM(F44:F45)</f>
        <v>126021.71</v>
      </c>
      <c r="G43" s="109">
        <f>SUM(G44:G45)</f>
        <v>0</v>
      </c>
      <c r="H43" s="109">
        <f>SUM(H44:H45)</f>
        <v>126021.71</v>
      </c>
      <c r="I43" s="110"/>
    </row>
    <row r="44" spans="1:12" x14ac:dyDescent="0.25">
      <c r="C44" s="96" t="s">
        <v>145</v>
      </c>
      <c r="E44" s="82"/>
      <c r="I44" s="112"/>
    </row>
    <row r="45" spans="1:12" x14ac:dyDescent="0.25">
      <c r="A45" s="96" t="s">
        <v>35</v>
      </c>
      <c r="E45" s="82">
        <v>10707010</v>
      </c>
      <c r="F45" s="52">
        <f>+GF!F285</f>
        <v>126021.71</v>
      </c>
      <c r="G45" s="52">
        <f>+GF!G285</f>
        <v>0</v>
      </c>
      <c r="H45" s="52">
        <f>+GF!H285</f>
        <v>126021.71</v>
      </c>
      <c r="I45" s="112"/>
      <c r="J45" s="86" t="str">
        <f>+GF!I285</f>
        <v>AB 2016 Completed 11/03/16</v>
      </c>
    </row>
    <row r="46" spans="1:12" x14ac:dyDescent="0.25">
      <c r="E46" s="82"/>
      <c r="I46" s="112"/>
    </row>
    <row r="47" spans="1:12" s="108" customFormat="1" x14ac:dyDescent="0.25">
      <c r="A47" s="108" t="s">
        <v>45</v>
      </c>
      <c r="E47" s="81" t="s">
        <v>0</v>
      </c>
      <c r="F47" s="109">
        <f>+F49</f>
        <v>128363.82</v>
      </c>
      <c r="G47" s="109">
        <f t="shared" ref="G47:H47" si="7">+G49</f>
        <v>0</v>
      </c>
      <c r="H47" s="109">
        <f t="shared" si="7"/>
        <v>128363.82</v>
      </c>
      <c r="I47" s="110"/>
      <c r="J47" s="85"/>
      <c r="K47" s="85"/>
      <c r="L47" s="150"/>
    </row>
    <row r="48" spans="1:12" x14ac:dyDescent="0.25">
      <c r="E48" s="82"/>
      <c r="I48" s="112"/>
    </row>
    <row r="49" spans="1:13" ht="12" customHeight="1" x14ac:dyDescent="0.25">
      <c r="A49" s="108" t="s">
        <v>119</v>
      </c>
      <c r="B49" s="108" t="s">
        <v>528</v>
      </c>
      <c r="C49" s="108"/>
      <c r="D49" s="108"/>
      <c r="E49" s="81">
        <v>9940</v>
      </c>
      <c r="F49" s="109">
        <f>SUM(F50:F57)</f>
        <v>128363.82</v>
      </c>
      <c r="G49" s="109">
        <f>SUM(G50:G57)</f>
        <v>0</v>
      </c>
      <c r="H49" s="109">
        <f>SUM(H50:H57)</f>
        <v>128363.82</v>
      </c>
      <c r="I49" s="110"/>
    </row>
    <row r="50" spans="1:13" x14ac:dyDescent="0.25">
      <c r="C50" s="96" t="s">
        <v>83</v>
      </c>
      <c r="E50" s="82"/>
    </row>
    <row r="51" spans="1:13" x14ac:dyDescent="0.25">
      <c r="A51" s="96" t="s">
        <v>151</v>
      </c>
      <c r="E51" s="82"/>
      <c r="J51" s="77" t="s">
        <v>98</v>
      </c>
    </row>
    <row r="52" spans="1:13" x14ac:dyDescent="0.25">
      <c r="A52" s="96" t="s">
        <v>152</v>
      </c>
      <c r="E52" s="82">
        <v>10704990</v>
      </c>
      <c r="F52" s="52">
        <f>+GF!F322</f>
        <v>128363.82</v>
      </c>
      <c r="G52" s="52">
        <f>+GF!G322</f>
        <v>0</v>
      </c>
      <c r="H52" s="52">
        <f>+GF!H322</f>
        <v>128363.82</v>
      </c>
      <c r="J52" s="77" t="str">
        <f>+GF!I322</f>
        <v>AB 2016 Change of Nomenclature</v>
      </c>
    </row>
    <row r="53" spans="1:13" x14ac:dyDescent="0.25">
      <c r="C53" s="96" t="s">
        <v>84</v>
      </c>
    </row>
    <row r="54" spans="1:13" x14ac:dyDescent="0.25">
      <c r="A54" s="96" t="s">
        <v>57</v>
      </c>
      <c r="E54" s="82">
        <v>10705030</v>
      </c>
      <c r="F54" s="52">
        <f>+GF!F337</f>
        <v>0</v>
      </c>
      <c r="G54" s="52">
        <f>+GF!G337</f>
        <v>0</v>
      </c>
      <c r="H54" s="52">
        <f>+GF!H337</f>
        <v>0</v>
      </c>
      <c r="J54" s="77" t="str">
        <f>+GF!I337</f>
        <v>AB 2016 Re-aligned SB#3 2020</v>
      </c>
    </row>
    <row r="55" spans="1:13" s="52" customFormat="1" x14ac:dyDescent="0.25">
      <c r="A55" s="96"/>
      <c r="B55" s="96"/>
      <c r="C55" s="96" t="s">
        <v>88</v>
      </c>
      <c r="D55" s="96"/>
      <c r="E55" s="82"/>
      <c r="I55" s="96"/>
      <c r="J55" s="77"/>
      <c r="K55" s="77"/>
      <c r="L55" s="149"/>
    </row>
    <row r="56" spans="1:13" s="52" customFormat="1" x14ac:dyDescent="0.25">
      <c r="A56" s="96" t="s">
        <v>59</v>
      </c>
      <c r="B56" s="96"/>
      <c r="C56" s="96"/>
      <c r="D56" s="96"/>
      <c r="E56" s="82">
        <v>10705140</v>
      </c>
      <c r="F56" s="52">
        <f>+GF!F351</f>
        <v>0</v>
      </c>
      <c r="G56" s="52">
        <f>+GF!G351</f>
        <v>0</v>
      </c>
      <c r="H56" s="52">
        <f>+GF!H351</f>
        <v>0</v>
      </c>
      <c r="I56" s="96"/>
      <c r="J56" s="77" t="str">
        <f>+GF!I351</f>
        <v>AB 2016 Re-aligned SB#3 2020</v>
      </c>
      <c r="K56" s="77"/>
      <c r="L56" s="149"/>
    </row>
    <row r="57" spans="1:13" s="52" customFormat="1" x14ac:dyDescent="0.25">
      <c r="A57" s="96" t="s">
        <v>57</v>
      </c>
      <c r="B57" s="96"/>
      <c r="C57" s="96"/>
      <c r="D57" s="96"/>
      <c r="E57" s="82">
        <v>10705140</v>
      </c>
      <c r="F57" s="52">
        <f>+GF!F353</f>
        <v>0</v>
      </c>
      <c r="G57" s="52">
        <f>+GF!G353</f>
        <v>0</v>
      </c>
      <c r="H57" s="52">
        <f>+GF!H353</f>
        <v>0</v>
      </c>
      <c r="I57" s="96"/>
      <c r="J57" s="77" t="str">
        <f>+GF!I353</f>
        <v>AB 2016 Re-aligned SB#3 2020</v>
      </c>
      <c r="K57" s="77"/>
      <c r="L57" s="149"/>
    </row>
    <row r="58" spans="1:13" x14ac:dyDescent="0.25">
      <c r="E58" s="82"/>
      <c r="I58" s="112"/>
      <c r="J58" s="210"/>
      <c r="K58" s="210"/>
    </row>
    <row r="59" spans="1:13" ht="12.75" x14ac:dyDescent="0.2">
      <c r="A59" s="221" t="s">
        <v>187</v>
      </c>
      <c r="B59" s="221"/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57"/>
    </row>
    <row r="60" spans="1:13" s="108" customFormat="1" x14ac:dyDescent="0.25">
      <c r="A60" s="108" t="s">
        <v>113</v>
      </c>
      <c r="E60" s="81" t="s">
        <v>0</v>
      </c>
      <c r="F60" s="109">
        <f>+F62+F140+F146+F98+F112</f>
        <v>29609674.91</v>
      </c>
      <c r="G60" s="109">
        <f t="shared" ref="G60:H60" si="8">+G62+G140+G146+G98+G112</f>
        <v>19681204.240000002</v>
      </c>
      <c r="H60" s="109">
        <f t="shared" si="8"/>
        <v>9928470.6700000018</v>
      </c>
      <c r="I60" s="110"/>
      <c r="J60" s="85"/>
      <c r="K60" s="85"/>
      <c r="L60" s="150"/>
    </row>
    <row r="61" spans="1:13" s="108" customFormat="1" x14ac:dyDescent="0.25">
      <c r="E61" s="81"/>
      <c r="F61" s="115"/>
      <c r="G61" s="115"/>
      <c r="H61" s="115"/>
      <c r="I61" s="110"/>
      <c r="J61" s="85"/>
      <c r="K61" s="85"/>
      <c r="L61" s="150"/>
    </row>
    <row r="62" spans="1:13" s="108" customFormat="1" x14ac:dyDescent="0.25">
      <c r="A62" s="108" t="s">
        <v>191</v>
      </c>
      <c r="E62" s="81" t="s">
        <v>0</v>
      </c>
      <c r="F62" s="109">
        <f>+F65+F90</f>
        <v>26936680.43</v>
      </c>
      <c r="G62" s="109">
        <f t="shared" ref="G62:H62" si="9">+G65+G90</f>
        <v>19676484.240000002</v>
      </c>
      <c r="H62" s="109">
        <f t="shared" si="9"/>
        <v>7260196.1900000013</v>
      </c>
      <c r="I62" s="110"/>
      <c r="J62" s="85"/>
      <c r="K62" s="85"/>
      <c r="L62" s="150"/>
    </row>
    <row r="63" spans="1:13" s="108" customFormat="1" x14ac:dyDescent="0.25">
      <c r="E63" s="81"/>
      <c r="F63" s="115"/>
      <c r="G63" s="115"/>
      <c r="H63" s="115"/>
      <c r="I63" s="110"/>
      <c r="J63" s="85"/>
      <c r="K63" s="85"/>
      <c r="L63" s="150"/>
    </row>
    <row r="64" spans="1:13" x14ac:dyDescent="0.25">
      <c r="A64" s="96" t="s">
        <v>130</v>
      </c>
      <c r="C64" s="113"/>
      <c r="E64" s="82"/>
      <c r="I64" s="112"/>
    </row>
    <row r="65" spans="1:11" x14ac:dyDescent="0.25">
      <c r="A65" s="108" t="s">
        <v>0</v>
      </c>
      <c r="B65" s="108" t="s">
        <v>132</v>
      </c>
      <c r="C65" s="108"/>
      <c r="D65" s="108"/>
      <c r="E65" s="81">
        <v>1011</v>
      </c>
      <c r="F65" s="109">
        <f>SUM(F68:F88)</f>
        <v>21778147.709999997</v>
      </c>
      <c r="G65" s="109">
        <f t="shared" ref="G65:H65" si="10">SUM(G68:G88)</f>
        <v>15286943.93</v>
      </c>
      <c r="H65" s="109">
        <f t="shared" si="10"/>
        <v>6491203.7800000003</v>
      </c>
      <c r="I65" s="110"/>
    </row>
    <row r="66" spans="1:11" x14ac:dyDescent="0.25">
      <c r="A66" s="108"/>
      <c r="B66" s="108"/>
      <c r="C66" s="114" t="s">
        <v>80</v>
      </c>
      <c r="E66" s="82"/>
      <c r="F66" s="115"/>
      <c r="G66" s="115"/>
      <c r="H66" s="115"/>
      <c r="I66" s="110"/>
    </row>
    <row r="67" spans="1:11" x14ac:dyDescent="0.25">
      <c r="A67" s="108"/>
      <c r="B67" s="108"/>
      <c r="C67" s="116" t="s">
        <v>115</v>
      </c>
      <c r="F67" s="115"/>
      <c r="G67" s="115"/>
      <c r="H67" s="115"/>
      <c r="I67" s="110"/>
    </row>
    <row r="68" spans="1:11" x14ac:dyDescent="0.25">
      <c r="A68" s="96" t="s">
        <v>234</v>
      </c>
      <c r="E68" s="82">
        <v>10702990</v>
      </c>
      <c r="F68" s="52">
        <f>+GF!F24</f>
        <v>11609633.389999999</v>
      </c>
      <c r="G68" s="52">
        <f>+GF!G24</f>
        <v>10070417.01</v>
      </c>
      <c r="H68" s="52">
        <f>+GF!H24</f>
        <v>1539216.379999999</v>
      </c>
      <c r="I68" s="112"/>
      <c r="K68" s="87" t="str">
        <f>+GF!J24</f>
        <v>SB#3 2017</v>
      </c>
    </row>
    <row r="69" spans="1:11" x14ac:dyDescent="0.25">
      <c r="A69" s="96" t="s">
        <v>235</v>
      </c>
      <c r="E69" s="82">
        <v>10702990</v>
      </c>
      <c r="F69" s="52">
        <f>+GF!F25</f>
        <v>222937.18</v>
      </c>
      <c r="G69" s="52">
        <f>+GF!G25</f>
        <v>0</v>
      </c>
      <c r="H69" s="52">
        <f>+GF!H25</f>
        <v>222937.18</v>
      </c>
      <c r="I69" s="112"/>
      <c r="J69" s="77" t="s">
        <v>220</v>
      </c>
      <c r="K69" s="87"/>
    </row>
    <row r="70" spans="1:11" x14ac:dyDescent="0.25">
      <c r="A70" s="96" t="s">
        <v>236</v>
      </c>
      <c r="E70" s="82">
        <v>10702990</v>
      </c>
      <c r="F70" s="52">
        <f>+GF!F27</f>
        <v>957729.0700000003</v>
      </c>
      <c r="G70" s="52">
        <f>+GF!G27</f>
        <v>538661.13</v>
      </c>
      <c r="H70" s="52">
        <f>+GF!H27</f>
        <v>419067.94000000029</v>
      </c>
      <c r="I70" s="112"/>
      <c r="K70" s="87" t="s">
        <v>136</v>
      </c>
    </row>
    <row r="71" spans="1:11" x14ac:dyDescent="0.25">
      <c r="A71" s="96" t="s">
        <v>237</v>
      </c>
      <c r="E71" s="82">
        <v>10702990</v>
      </c>
      <c r="F71" s="52">
        <f>+GF!F26</f>
        <v>269652.08999999997</v>
      </c>
      <c r="G71" s="52">
        <f>+GF!G26</f>
        <v>0</v>
      </c>
      <c r="H71" s="52">
        <f>+GF!H26</f>
        <v>269652.08999999997</v>
      </c>
      <c r="I71" s="112"/>
      <c r="J71" s="224" t="s">
        <v>231</v>
      </c>
      <c r="K71" s="224"/>
    </row>
    <row r="72" spans="1:11" x14ac:dyDescent="0.25">
      <c r="A72" s="96" t="s">
        <v>238</v>
      </c>
      <c r="E72" s="82">
        <v>10702990</v>
      </c>
      <c r="F72" s="52">
        <f>+GF!F29</f>
        <v>1119692.77</v>
      </c>
      <c r="G72" s="52">
        <f>+GF!G29</f>
        <v>667791.79</v>
      </c>
      <c r="H72" s="52">
        <f>+GF!H29</f>
        <v>451900.98</v>
      </c>
      <c r="I72" s="112"/>
      <c r="K72" s="87" t="s">
        <v>136</v>
      </c>
    </row>
    <row r="73" spans="1:11" x14ac:dyDescent="0.25">
      <c r="A73" s="96" t="s">
        <v>239</v>
      </c>
      <c r="E73" s="82">
        <v>10702990</v>
      </c>
      <c r="F73" s="52">
        <f>+GF!F28</f>
        <v>251331.5</v>
      </c>
      <c r="G73" s="52">
        <f>+GF!G28</f>
        <v>0</v>
      </c>
      <c r="H73" s="52">
        <f>+GF!H28</f>
        <v>251331.5</v>
      </c>
      <c r="I73" s="112"/>
      <c r="J73" s="77" t="str">
        <f>+GF!I28</f>
        <v>SB#3 2017 Completed 01/31/20</v>
      </c>
      <c r="K73" s="87"/>
    </row>
    <row r="76" spans="1:11" x14ac:dyDescent="0.25">
      <c r="C76" s="96" t="s">
        <v>81</v>
      </c>
      <c r="E76" s="82"/>
      <c r="I76" s="112"/>
    </row>
    <row r="77" spans="1:11" x14ac:dyDescent="0.25">
      <c r="C77" s="113" t="s">
        <v>114</v>
      </c>
      <c r="E77" s="82"/>
      <c r="I77" s="112"/>
    </row>
    <row r="78" spans="1:11" x14ac:dyDescent="0.25">
      <c r="C78" s="96" t="s">
        <v>516</v>
      </c>
      <c r="E78" s="82">
        <v>10704010</v>
      </c>
      <c r="F78" s="52">
        <f>+GF!F34</f>
        <v>1202389.55</v>
      </c>
      <c r="G78" s="52">
        <f>+GF!G34</f>
        <v>941308.34</v>
      </c>
      <c r="H78" s="52">
        <f>+GF!H34</f>
        <v>261081.21000000008</v>
      </c>
      <c r="I78" s="52"/>
      <c r="K78" s="87" t="s">
        <v>136</v>
      </c>
    </row>
    <row r="79" spans="1:11" x14ac:dyDescent="0.25">
      <c r="C79" s="96" t="s">
        <v>517</v>
      </c>
      <c r="E79" s="82">
        <v>10704010</v>
      </c>
      <c r="F79" s="52">
        <f>+GF!F35</f>
        <v>249246.88</v>
      </c>
      <c r="G79" s="52">
        <f>+GF!G35</f>
        <v>220092.94</v>
      </c>
      <c r="H79" s="52">
        <f>+GF!H35</f>
        <v>29153.940000000002</v>
      </c>
      <c r="I79" s="112"/>
      <c r="K79" s="87" t="s">
        <v>136</v>
      </c>
    </row>
    <row r="80" spans="1:11" x14ac:dyDescent="0.25">
      <c r="C80" s="96" t="s">
        <v>518</v>
      </c>
      <c r="E80" s="82">
        <v>10704010</v>
      </c>
      <c r="F80" s="52">
        <f>+GF!F36</f>
        <v>1336723.07</v>
      </c>
      <c r="G80" s="52">
        <f>+GF!G36</f>
        <v>0</v>
      </c>
      <c r="H80" s="52">
        <f>+GF!H36</f>
        <v>1336723.07</v>
      </c>
      <c r="I80" s="112"/>
      <c r="J80" s="77" t="str">
        <f>+GF!I36</f>
        <v>SB#3 2017 Completed 04/30/20</v>
      </c>
      <c r="K80" s="87"/>
    </row>
    <row r="81" spans="1:11" x14ac:dyDescent="0.25">
      <c r="A81" s="96" t="s">
        <v>148</v>
      </c>
      <c r="C81" s="96" t="s">
        <v>556</v>
      </c>
      <c r="E81" s="82">
        <v>10704010</v>
      </c>
      <c r="F81" s="52">
        <f>+GF!F37</f>
        <v>275000</v>
      </c>
      <c r="G81" s="52">
        <f>+GF!G37</f>
        <v>198964</v>
      </c>
      <c r="H81" s="52">
        <f>+GF!H37</f>
        <v>76036</v>
      </c>
      <c r="I81" s="112"/>
      <c r="K81" s="87" t="s">
        <v>136</v>
      </c>
    </row>
    <row r="82" spans="1:11" x14ac:dyDescent="0.25">
      <c r="C82" s="96" t="s">
        <v>519</v>
      </c>
      <c r="E82" s="82">
        <v>10704010</v>
      </c>
      <c r="F82" s="52">
        <f>+GF!F38</f>
        <v>169965</v>
      </c>
      <c r="G82" s="52">
        <f>+GF!G38</f>
        <v>136813.16999999998</v>
      </c>
      <c r="H82" s="52">
        <f>+GF!H38</f>
        <v>33151.830000000016</v>
      </c>
      <c r="I82" s="112"/>
      <c r="K82" s="87" t="s">
        <v>136</v>
      </c>
    </row>
    <row r="83" spans="1:11" x14ac:dyDescent="0.25">
      <c r="C83" s="96" t="s">
        <v>520</v>
      </c>
      <c r="E83" s="82">
        <v>10704010</v>
      </c>
      <c r="F83" s="52">
        <f>+GF!F39</f>
        <v>937884.36</v>
      </c>
      <c r="G83" s="52">
        <f>+GF!G39</f>
        <v>771566.67</v>
      </c>
      <c r="H83" s="52">
        <f>+GF!H39</f>
        <v>166317.68999999994</v>
      </c>
      <c r="I83" s="112"/>
      <c r="K83" s="87" t="s">
        <v>136</v>
      </c>
    </row>
    <row r="84" spans="1:11" x14ac:dyDescent="0.25">
      <c r="C84" s="96" t="s">
        <v>521</v>
      </c>
      <c r="E84" s="82">
        <v>10704010</v>
      </c>
      <c r="F84" s="52">
        <f>+GF!F40</f>
        <v>357158.65</v>
      </c>
      <c r="G84" s="52">
        <f>+GF!G40</f>
        <v>284590.07</v>
      </c>
      <c r="H84" s="52">
        <f>+GF!H40</f>
        <v>72568.580000000016</v>
      </c>
      <c r="I84" s="112"/>
      <c r="K84" s="87" t="s">
        <v>136</v>
      </c>
    </row>
    <row r="85" spans="1:11" x14ac:dyDescent="0.25">
      <c r="C85" s="96" t="s">
        <v>522</v>
      </c>
      <c r="E85" s="82">
        <v>10704010</v>
      </c>
      <c r="F85" s="52">
        <f>+GF!F41</f>
        <v>544583.87999999989</v>
      </c>
      <c r="G85" s="52">
        <f>+GF!G41</f>
        <v>276932.47999999998</v>
      </c>
      <c r="H85" s="52">
        <f>+GF!H41</f>
        <v>267651.39999999991</v>
      </c>
      <c r="I85" s="112"/>
      <c r="J85" s="77" t="str">
        <f>+GF!I41</f>
        <v>SB#3 2017 Completed 02/28/20</v>
      </c>
      <c r="K85" s="87"/>
    </row>
    <row r="86" spans="1:11" x14ac:dyDescent="0.25">
      <c r="C86" s="96" t="s">
        <v>523</v>
      </c>
      <c r="E86" s="82">
        <v>10704010</v>
      </c>
      <c r="F86" s="52">
        <f>+GF!F42</f>
        <v>601848.23999999976</v>
      </c>
      <c r="G86" s="52">
        <f>+GF!G42</f>
        <v>414673.04</v>
      </c>
      <c r="H86" s="52">
        <f>+GF!H42</f>
        <v>187175.19999999978</v>
      </c>
      <c r="I86" s="112"/>
      <c r="K86" s="87" t="s">
        <v>136</v>
      </c>
    </row>
    <row r="87" spans="1:11" x14ac:dyDescent="0.25">
      <c r="C87" s="96" t="s">
        <v>524</v>
      </c>
      <c r="E87" s="82">
        <v>10704010</v>
      </c>
      <c r="F87" s="52">
        <f>+GF!F43</f>
        <v>1103912.5800000003</v>
      </c>
      <c r="G87" s="52">
        <f>+GF!G43</f>
        <v>502963.4</v>
      </c>
      <c r="H87" s="52">
        <f>+GF!H43</f>
        <v>600949.18000000028</v>
      </c>
      <c r="I87" s="112"/>
      <c r="K87" s="87" t="str">
        <f>+GF!J44</f>
        <v>SB#3 2017</v>
      </c>
    </row>
    <row r="88" spans="1:11" x14ac:dyDescent="0.25">
      <c r="C88" s="96" t="s">
        <v>525</v>
      </c>
      <c r="E88" s="82">
        <v>10704010</v>
      </c>
      <c r="F88" s="52">
        <f>+GF!F44</f>
        <v>568459.5</v>
      </c>
      <c r="G88" s="52">
        <f>+GF!G44</f>
        <v>262169.89</v>
      </c>
      <c r="H88" s="52">
        <f>+GF!H44</f>
        <v>306289.61</v>
      </c>
      <c r="I88" s="112"/>
      <c r="K88" s="77" t="str">
        <f>+GF!J44</f>
        <v>SB#3 2017</v>
      </c>
    </row>
    <row r="89" spans="1:11" x14ac:dyDescent="0.25">
      <c r="E89" s="82"/>
      <c r="I89" s="112"/>
    </row>
    <row r="90" spans="1:11" x14ac:dyDescent="0.25">
      <c r="A90" s="108" t="s">
        <v>119</v>
      </c>
      <c r="B90" s="108" t="s">
        <v>133</v>
      </c>
      <c r="C90" s="108"/>
      <c r="D90" s="108"/>
      <c r="E90" s="81">
        <v>1021</v>
      </c>
      <c r="F90" s="109">
        <f>SUM(F92:F96)</f>
        <v>5158532.7200000007</v>
      </c>
      <c r="G90" s="109">
        <f t="shared" ref="G90:H90" si="11">SUM(G92:G96)</f>
        <v>4389540.3100000005</v>
      </c>
      <c r="H90" s="109">
        <f t="shared" si="11"/>
        <v>768992.41000000108</v>
      </c>
      <c r="I90" s="110"/>
    </row>
    <row r="91" spans="1:11" x14ac:dyDescent="0.25">
      <c r="A91" s="108"/>
      <c r="B91" s="108"/>
      <c r="C91" s="96" t="s">
        <v>81</v>
      </c>
      <c r="D91" s="108"/>
      <c r="F91" s="115"/>
      <c r="G91" s="115"/>
      <c r="H91" s="115"/>
      <c r="I91" s="110"/>
    </row>
    <row r="92" spans="1:11" x14ac:dyDescent="0.25">
      <c r="A92" s="96" t="s">
        <v>200</v>
      </c>
      <c r="B92" s="108"/>
      <c r="D92" s="108"/>
      <c r="E92" s="82">
        <v>10704010</v>
      </c>
      <c r="F92" s="120">
        <f>+GF!F48</f>
        <v>762148.46000000089</v>
      </c>
      <c r="G92" s="120">
        <f>+GF!G48</f>
        <v>0</v>
      </c>
      <c r="H92" s="120">
        <f>+GF!H48</f>
        <v>762148.46000000089</v>
      </c>
      <c r="I92" s="110"/>
      <c r="J92" s="212" t="s">
        <v>227</v>
      </c>
      <c r="K92" s="212"/>
    </row>
    <row r="93" spans="1:11" x14ac:dyDescent="0.25">
      <c r="A93" s="108"/>
      <c r="B93" s="108"/>
      <c r="C93" s="96" t="s">
        <v>145</v>
      </c>
      <c r="D93" s="108"/>
      <c r="E93" s="81"/>
      <c r="F93" s="115"/>
      <c r="G93" s="115"/>
      <c r="H93" s="115"/>
      <c r="I93" s="110"/>
    </row>
    <row r="94" spans="1:11" ht="42" customHeight="1" x14ac:dyDescent="0.25">
      <c r="A94" s="135" t="s">
        <v>10</v>
      </c>
      <c r="D94" s="135"/>
      <c r="E94" s="173">
        <v>10707010</v>
      </c>
      <c r="F94" s="174">
        <f>+GF!F52</f>
        <v>533640.30999999959</v>
      </c>
      <c r="G94" s="174">
        <f>+GF!G52</f>
        <v>533640.31000000006</v>
      </c>
      <c r="H94" s="174">
        <f>+GF!H52</f>
        <v>0</v>
      </c>
      <c r="I94" s="112"/>
      <c r="J94" s="225" t="str">
        <f>+GF!I52</f>
        <v xml:space="preserve">SB#3 2017- APPROPRIATION ORD. NO. 04-2020 -RECLASS FROM F&amp;F TO IT EQPT                                         </v>
      </c>
      <c r="K94" s="225"/>
    </row>
    <row r="95" spans="1:11" x14ac:dyDescent="0.25">
      <c r="C95" s="96" t="s">
        <v>84</v>
      </c>
      <c r="E95" s="172"/>
      <c r="I95" s="112"/>
      <c r="K95" s="87"/>
    </row>
    <row r="96" spans="1:11" ht="42.75" customHeight="1" x14ac:dyDescent="0.25">
      <c r="D96" s="135" t="s">
        <v>84</v>
      </c>
      <c r="E96" s="173">
        <v>10705030</v>
      </c>
      <c r="F96" s="174">
        <f>+GF!F54</f>
        <v>3862743.95</v>
      </c>
      <c r="G96" s="174">
        <f>+GF!G54</f>
        <v>3855900</v>
      </c>
      <c r="H96" s="174">
        <f>+GF!H54</f>
        <v>6843.9500000001863</v>
      </c>
      <c r="I96" s="175"/>
      <c r="J96" s="210" t="str">
        <f>+GF!I54</f>
        <v xml:space="preserve">SB#3 2017- APPROPRIATION ORD. NO. 04-2020 -RECLASS FROM F&amp;F TO IT EQPT                                         </v>
      </c>
      <c r="K96" s="210"/>
    </row>
    <row r="97" spans="1:12" x14ac:dyDescent="0.25">
      <c r="D97" s="135"/>
      <c r="E97" s="173"/>
      <c r="F97" s="174"/>
      <c r="G97" s="174"/>
      <c r="H97" s="174"/>
      <c r="I97" s="175"/>
      <c r="J97" s="179"/>
      <c r="K97" s="179"/>
    </row>
    <row r="98" spans="1:12" s="108" customFormat="1" x14ac:dyDescent="0.25">
      <c r="A98" s="108" t="s">
        <v>31</v>
      </c>
      <c r="E98" s="81" t="s">
        <v>0</v>
      </c>
      <c r="F98" s="109">
        <f>+F100</f>
        <v>800000</v>
      </c>
      <c r="G98" s="109">
        <f t="shared" ref="G98:H98" si="12">+G100</f>
        <v>0</v>
      </c>
      <c r="H98" s="109">
        <f t="shared" si="12"/>
        <v>800000</v>
      </c>
      <c r="I98" s="110"/>
      <c r="J98" s="85"/>
      <c r="K98" s="85"/>
      <c r="L98" s="150"/>
    </row>
    <row r="99" spans="1:12" ht="12" customHeight="1" x14ac:dyDescent="0.25">
      <c r="E99" s="82"/>
      <c r="I99" s="112"/>
    </row>
    <row r="100" spans="1:12" x14ac:dyDescent="0.25">
      <c r="A100" s="108" t="s">
        <v>119</v>
      </c>
      <c r="B100" s="108" t="s">
        <v>631</v>
      </c>
      <c r="C100" s="108"/>
      <c r="D100" s="108"/>
      <c r="E100" s="81">
        <v>8751</v>
      </c>
      <c r="F100" s="109">
        <f>SUM(F101:F108)</f>
        <v>800000</v>
      </c>
      <c r="G100" s="109">
        <f>SUM(G101:G108)</f>
        <v>0</v>
      </c>
      <c r="H100" s="109">
        <f>SUM(H101:H108)</f>
        <v>800000</v>
      </c>
      <c r="I100" s="110"/>
    </row>
    <row r="101" spans="1:12" x14ac:dyDescent="0.25">
      <c r="C101" s="114" t="s">
        <v>143</v>
      </c>
      <c r="E101" s="177"/>
      <c r="I101" s="112"/>
      <c r="J101" s="86"/>
    </row>
    <row r="102" spans="1:12" x14ac:dyDescent="0.25">
      <c r="A102" s="96" t="s">
        <v>36</v>
      </c>
      <c r="E102" s="177">
        <v>10705080</v>
      </c>
      <c r="F102" s="52">
        <f>+GF!F60</f>
        <v>100000</v>
      </c>
      <c r="G102" s="52">
        <f>+GF!G60</f>
        <v>0</v>
      </c>
      <c r="H102" s="52">
        <f>+GF!H60</f>
        <v>100000</v>
      </c>
      <c r="I102" s="112"/>
      <c r="K102" s="87" t="str">
        <f>+GF!J60</f>
        <v>SB#3 2017</v>
      </c>
    </row>
    <row r="103" spans="1:12" x14ac:dyDescent="0.25">
      <c r="A103" s="96" t="s">
        <v>37</v>
      </c>
      <c r="E103" s="177">
        <v>10705080</v>
      </c>
      <c r="F103" s="52">
        <f>+GF!F61</f>
        <v>280000</v>
      </c>
      <c r="G103" s="52">
        <f>+GF!G61</f>
        <v>0</v>
      </c>
      <c r="H103" s="52">
        <f>+GF!H61</f>
        <v>280000</v>
      </c>
      <c r="I103" s="112"/>
      <c r="K103" s="87" t="str">
        <f>+GF!J61</f>
        <v>SB#3 2017</v>
      </c>
    </row>
    <row r="104" spans="1:12" x14ac:dyDescent="0.25">
      <c r="A104" s="96" t="s">
        <v>38</v>
      </c>
      <c r="E104" s="177">
        <v>10705080</v>
      </c>
      <c r="F104" s="52">
        <f>+GF!F62</f>
        <v>40000</v>
      </c>
      <c r="G104" s="52">
        <f>+GF!G62</f>
        <v>0</v>
      </c>
      <c r="H104" s="52">
        <f>+GF!H62</f>
        <v>40000</v>
      </c>
      <c r="I104" s="112"/>
      <c r="K104" s="87" t="str">
        <f>+GF!J62</f>
        <v>SB#3 2017</v>
      </c>
    </row>
    <row r="105" spans="1:12" x14ac:dyDescent="0.25">
      <c r="A105" s="96" t="s">
        <v>39</v>
      </c>
      <c r="E105" s="177">
        <v>10705080</v>
      </c>
      <c r="F105" s="52">
        <f>+GF!F63</f>
        <v>80000</v>
      </c>
      <c r="G105" s="52">
        <f>+GF!G63</f>
        <v>0</v>
      </c>
      <c r="H105" s="52">
        <f>+GF!H63</f>
        <v>80000</v>
      </c>
      <c r="I105" s="112"/>
      <c r="K105" s="87" t="str">
        <f>+GF!J63</f>
        <v>SB#3 2017</v>
      </c>
    </row>
    <row r="106" spans="1:12" x14ac:dyDescent="0.25">
      <c r="A106" s="96" t="s">
        <v>40</v>
      </c>
      <c r="E106" s="177">
        <v>10705080</v>
      </c>
      <c r="F106" s="52">
        <f>+GF!F64</f>
        <v>60000</v>
      </c>
      <c r="G106" s="52">
        <f>+GF!G64</f>
        <v>0</v>
      </c>
      <c r="H106" s="52">
        <f>+GF!H64</f>
        <v>60000</v>
      </c>
      <c r="I106" s="112"/>
      <c r="K106" s="87" t="str">
        <f>+GF!J64</f>
        <v>SB#3 2017</v>
      </c>
    </row>
    <row r="107" spans="1:12" x14ac:dyDescent="0.25">
      <c r="A107" s="96" t="s">
        <v>41</v>
      </c>
      <c r="E107" s="177">
        <v>10705080</v>
      </c>
      <c r="F107" s="52">
        <f>+GF!F65</f>
        <v>40000</v>
      </c>
      <c r="G107" s="52">
        <f>+GF!G65</f>
        <v>0</v>
      </c>
      <c r="H107" s="52">
        <f>+GF!H65</f>
        <v>40000</v>
      </c>
      <c r="I107" s="112"/>
      <c r="K107" s="87" t="str">
        <f>+GF!J65</f>
        <v>SB#3 2017</v>
      </c>
    </row>
    <row r="108" spans="1:12" x14ac:dyDescent="0.25">
      <c r="A108" s="96" t="s">
        <v>42</v>
      </c>
      <c r="E108" s="177">
        <v>10705080</v>
      </c>
      <c r="F108" s="52">
        <f>+GF!F66</f>
        <v>200000</v>
      </c>
      <c r="G108" s="52">
        <f>+GF!G66</f>
        <v>0</v>
      </c>
      <c r="H108" s="52">
        <f>+GF!H66</f>
        <v>200000</v>
      </c>
      <c r="I108" s="112"/>
      <c r="K108" s="87" t="str">
        <f>+GF!J66</f>
        <v>SB#3 2017</v>
      </c>
    </row>
    <row r="109" spans="1:12" ht="12" customHeight="1" x14ac:dyDescent="0.25">
      <c r="E109" s="177"/>
      <c r="I109" s="112"/>
    </row>
    <row r="110" spans="1:12" ht="12" customHeight="1" x14ac:dyDescent="0.25">
      <c r="C110" s="122" t="s">
        <v>116</v>
      </c>
      <c r="E110" s="82"/>
      <c r="F110" s="123">
        <f>+F65+F90+F100</f>
        <v>27736680.43</v>
      </c>
      <c r="G110" s="123">
        <f t="shared" ref="G110:H110" si="13">+G65+G90+G100</f>
        <v>19676484.240000002</v>
      </c>
      <c r="H110" s="123">
        <f t="shared" si="13"/>
        <v>8060196.1900000013</v>
      </c>
      <c r="I110" s="112"/>
    </row>
    <row r="111" spans="1:12" ht="12" customHeight="1" x14ac:dyDescent="0.25">
      <c r="E111" s="82"/>
      <c r="I111" s="112"/>
    </row>
    <row r="112" spans="1:12" s="108" customFormat="1" x14ac:dyDescent="0.25">
      <c r="A112" s="108" t="s">
        <v>191</v>
      </c>
      <c r="E112" s="81" t="s">
        <v>0</v>
      </c>
      <c r="F112" s="109">
        <f>+F114+F124+F130</f>
        <v>1870994.4799999997</v>
      </c>
      <c r="G112" s="109">
        <f t="shared" ref="G112:H112" si="14">+G114+G124+G130</f>
        <v>4720</v>
      </c>
      <c r="H112" s="109">
        <f t="shared" si="14"/>
        <v>1866274.4799999997</v>
      </c>
      <c r="I112" s="110"/>
      <c r="J112" s="85"/>
      <c r="K112" s="85"/>
      <c r="L112" s="150"/>
    </row>
    <row r="113" spans="1:12" ht="12" customHeight="1" x14ac:dyDescent="0.25">
      <c r="E113" s="178"/>
      <c r="I113" s="112"/>
    </row>
    <row r="114" spans="1:12" x14ac:dyDescent="0.25">
      <c r="A114" s="108" t="s">
        <v>119</v>
      </c>
      <c r="B114" s="108" t="s">
        <v>633</v>
      </c>
      <c r="C114" s="108"/>
      <c r="D114" s="108"/>
      <c r="E114" s="81">
        <v>1011</v>
      </c>
      <c r="F114" s="109">
        <f>SUM(F116:F122)</f>
        <v>701619.12999999989</v>
      </c>
      <c r="G114" s="109">
        <f t="shared" ref="G114:H114" si="15">SUM(G116:G122)</f>
        <v>4720</v>
      </c>
      <c r="H114" s="109">
        <f t="shared" si="15"/>
        <v>696899.12999999989</v>
      </c>
      <c r="I114" s="124">
        <f>SUM(I117:I123)</f>
        <v>0</v>
      </c>
    </row>
    <row r="115" spans="1:12" x14ac:dyDescent="0.25">
      <c r="C115" s="96" t="s">
        <v>81</v>
      </c>
      <c r="E115" s="82"/>
      <c r="I115" s="112"/>
    </row>
    <row r="116" spans="1:12" x14ac:dyDescent="0.25">
      <c r="C116" s="96" t="s">
        <v>529</v>
      </c>
      <c r="E116" s="82">
        <v>10704010</v>
      </c>
      <c r="F116" s="52">
        <f>+GF!F82</f>
        <v>152161.57999999996</v>
      </c>
      <c r="G116" s="52">
        <f>+GF!G82</f>
        <v>0</v>
      </c>
      <c r="H116" s="52">
        <f>+GF!H82</f>
        <v>152161.57999999996</v>
      </c>
      <c r="I116" s="112"/>
      <c r="J116" s="77" t="str">
        <f>+GF!I82</f>
        <v>AB 2017 Completed 01/21/20</v>
      </c>
      <c r="K116" s="87"/>
    </row>
    <row r="117" spans="1:12" x14ac:dyDescent="0.25">
      <c r="A117" s="96" t="s">
        <v>148</v>
      </c>
      <c r="C117" s="96" t="s">
        <v>530</v>
      </c>
      <c r="E117" s="82">
        <v>10704010</v>
      </c>
      <c r="F117" s="52">
        <f>+GF!F83</f>
        <v>59409.72</v>
      </c>
      <c r="G117" s="52">
        <f>+GF!G83</f>
        <v>0</v>
      </c>
      <c r="H117" s="52">
        <f>+GF!H83</f>
        <v>59409.72</v>
      </c>
      <c r="I117" s="112"/>
      <c r="J117" s="86" t="str">
        <f>+GF!I83</f>
        <v>AB 2017 Completed 06/30/20</v>
      </c>
    </row>
    <row r="118" spans="1:12" x14ac:dyDescent="0.25">
      <c r="C118" s="96" t="s">
        <v>531</v>
      </c>
      <c r="E118" s="82">
        <v>10704010</v>
      </c>
      <c r="F118" s="52">
        <f>+GF!F84</f>
        <v>417959.15</v>
      </c>
      <c r="G118" s="52">
        <f>+GF!G84</f>
        <v>0</v>
      </c>
      <c r="H118" s="52">
        <f>+GF!H84</f>
        <v>417959.15</v>
      </c>
      <c r="I118" s="112"/>
      <c r="J118" s="86" t="str">
        <f>+GF!I84</f>
        <v>AB 2017</v>
      </c>
    </row>
    <row r="119" spans="1:12" x14ac:dyDescent="0.25">
      <c r="C119" s="96" t="s">
        <v>532</v>
      </c>
      <c r="E119" s="82">
        <v>10704010</v>
      </c>
      <c r="F119" s="52">
        <f>+GF!F85</f>
        <v>43380.98</v>
      </c>
      <c r="G119" s="52">
        <f>+GF!G85</f>
        <v>0</v>
      </c>
      <c r="H119" s="52">
        <f>+GF!H85</f>
        <v>43380.98</v>
      </c>
      <c r="I119" s="112"/>
      <c r="J119" s="89" t="s">
        <v>565</v>
      </c>
    </row>
    <row r="120" spans="1:12" x14ac:dyDescent="0.25">
      <c r="E120" s="82"/>
      <c r="I120" s="112"/>
    </row>
    <row r="121" spans="1:12" x14ac:dyDescent="0.25">
      <c r="C121" s="96" t="s">
        <v>83</v>
      </c>
      <c r="I121" s="112"/>
    </row>
    <row r="122" spans="1:12" x14ac:dyDescent="0.25">
      <c r="C122" s="96" t="s">
        <v>533</v>
      </c>
      <c r="E122" s="82">
        <v>10704990</v>
      </c>
      <c r="F122" s="52">
        <f>+GF!F96</f>
        <v>28707.699999999997</v>
      </c>
      <c r="G122" s="52">
        <f>+GF!G96</f>
        <v>4720</v>
      </c>
      <c r="H122" s="52">
        <f>+GF!H96</f>
        <v>23987.699999999997</v>
      </c>
      <c r="I122" s="112"/>
      <c r="J122" s="86" t="str">
        <f>+GF!I96</f>
        <v>AB 2017 Completed 06/30/20</v>
      </c>
    </row>
    <row r="123" spans="1:12" x14ac:dyDescent="0.25">
      <c r="E123" s="82"/>
      <c r="I123" s="112"/>
      <c r="J123" s="91"/>
      <c r="K123" s="91"/>
    </row>
    <row r="124" spans="1:12" s="108" customFormat="1" x14ac:dyDescent="0.25">
      <c r="A124" s="108" t="s">
        <v>119</v>
      </c>
      <c r="B124" s="108" t="s">
        <v>643</v>
      </c>
      <c r="D124" s="96"/>
      <c r="E124" s="81">
        <v>1061</v>
      </c>
      <c r="F124" s="109">
        <f>SUM(F125:F126)</f>
        <v>0</v>
      </c>
      <c r="G124" s="109">
        <f>SUM(G125:G126)</f>
        <v>0</v>
      </c>
      <c r="H124" s="109">
        <f>SUM(H125:H126)</f>
        <v>0</v>
      </c>
      <c r="I124" s="112"/>
      <c r="J124" s="77"/>
      <c r="K124" s="87"/>
      <c r="L124" s="150"/>
    </row>
    <row r="125" spans="1:12" s="108" customFormat="1" x14ac:dyDescent="0.25">
      <c r="C125" s="96" t="s">
        <v>83</v>
      </c>
      <c r="D125" s="96"/>
      <c r="E125" s="85"/>
      <c r="F125" s="115"/>
      <c r="G125" s="115"/>
      <c r="H125" s="115"/>
      <c r="I125" s="112"/>
      <c r="J125" s="77"/>
      <c r="K125" s="87"/>
      <c r="L125" s="150"/>
    </row>
    <row r="126" spans="1:12" s="108" customFormat="1" x14ac:dyDescent="0.25">
      <c r="A126" s="96" t="s">
        <v>233</v>
      </c>
      <c r="B126" s="96"/>
      <c r="C126" s="96"/>
      <c r="D126" s="96" t="s">
        <v>604</v>
      </c>
      <c r="E126" s="170">
        <v>10705990</v>
      </c>
      <c r="F126" s="52">
        <f>+GF!F124</f>
        <v>0</v>
      </c>
      <c r="G126" s="52">
        <f>+GF!G124</f>
        <v>0</v>
      </c>
      <c r="H126" s="52">
        <f>+GF!H124</f>
        <v>0</v>
      </c>
      <c r="I126" s="112"/>
      <c r="J126" s="77"/>
      <c r="K126" s="87" t="str">
        <f>+GF!J124</f>
        <v>Daclared Savings for SB#5 2020</v>
      </c>
      <c r="L126" s="150"/>
    </row>
    <row r="127" spans="1:12" s="108" customFormat="1" x14ac:dyDescent="0.25">
      <c r="A127" s="96"/>
      <c r="B127" s="96"/>
      <c r="C127" s="96"/>
      <c r="D127" s="96"/>
      <c r="E127" s="170"/>
      <c r="F127" s="52"/>
      <c r="G127" s="52"/>
      <c r="H127" s="52"/>
      <c r="I127" s="112"/>
      <c r="J127" s="77"/>
      <c r="K127" s="87"/>
      <c r="L127" s="150"/>
    </row>
    <row r="128" spans="1:12" s="108" customFormat="1" x14ac:dyDescent="0.25">
      <c r="A128" s="108" t="s">
        <v>119</v>
      </c>
      <c r="B128" s="108" t="s">
        <v>644</v>
      </c>
      <c r="E128" s="85"/>
      <c r="I128" s="110"/>
      <c r="J128" s="85"/>
      <c r="K128" s="85"/>
      <c r="L128" s="150"/>
    </row>
    <row r="129" spans="1:12" s="108" customFormat="1" x14ac:dyDescent="0.25">
      <c r="C129" s="108" t="s">
        <v>167</v>
      </c>
      <c r="E129" s="81"/>
      <c r="F129" s="115"/>
      <c r="G129" s="115"/>
      <c r="H129" s="115"/>
      <c r="I129" s="110"/>
      <c r="J129" s="85"/>
      <c r="K129" s="85"/>
      <c r="L129" s="150"/>
    </row>
    <row r="130" spans="1:12" s="108" customFormat="1" x14ac:dyDescent="0.25">
      <c r="C130" s="108" t="s">
        <v>168</v>
      </c>
      <c r="E130" s="81">
        <v>1918</v>
      </c>
      <c r="F130" s="109">
        <f>SUM(F131:F138)</f>
        <v>1169375.3499999999</v>
      </c>
      <c r="G130" s="109">
        <f>SUM(G131:G138)</f>
        <v>0</v>
      </c>
      <c r="H130" s="109">
        <f>SUM(H131:H138)</f>
        <v>1169375.3499999999</v>
      </c>
      <c r="I130" s="110"/>
      <c r="J130" s="85"/>
      <c r="K130" s="85"/>
      <c r="L130" s="150"/>
    </row>
    <row r="131" spans="1:12" x14ac:dyDescent="0.25">
      <c r="C131" s="96" t="s">
        <v>83</v>
      </c>
      <c r="E131" s="82"/>
      <c r="I131" s="112"/>
    </row>
    <row r="132" spans="1:12" x14ac:dyDescent="0.25">
      <c r="A132" s="96" t="s">
        <v>127</v>
      </c>
      <c r="E132" s="82">
        <v>10704990</v>
      </c>
      <c r="F132" s="52">
        <f>+GF!F192</f>
        <v>500000</v>
      </c>
      <c r="G132" s="52">
        <f>+GF!G192</f>
        <v>0</v>
      </c>
      <c r="H132" s="52">
        <f>+GF!H192</f>
        <v>500000</v>
      </c>
      <c r="I132" s="112"/>
      <c r="K132" s="87" t="s">
        <v>138</v>
      </c>
    </row>
    <row r="133" spans="1:12" ht="13.5" customHeight="1" x14ac:dyDescent="0.25">
      <c r="A133" s="96" t="s">
        <v>20</v>
      </c>
      <c r="E133" s="82">
        <v>10704990</v>
      </c>
      <c r="F133" s="52">
        <f>+GF!F206</f>
        <v>42360.08</v>
      </c>
      <c r="G133" s="52">
        <f>+GF!G206</f>
        <v>0</v>
      </c>
      <c r="H133" s="52">
        <f>+GF!H206</f>
        <v>42360.08</v>
      </c>
      <c r="I133" s="112"/>
      <c r="J133" s="86" t="s">
        <v>186</v>
      </c>
      <c r="K133" s="86"/>
    </row>
    <row r="134" spans="1:12" x14ac:dyDescent="0.25">
      <c r="D134" s="96" t="s">
        <v>144</v>
      </c>
      <c r="E134" s="82"/>
      <c r="I134" s="112"/>
      <c r="K134" s="87"/>
    </row>
    <row r="135" spans="1:12" ht="13.5" customHeight="1" x14ac:dyDescent="0.25">
      <c r="A135" s="96" t="s">
        <v>129</v>
      </c>
      <c r="E135" s="82">
        <v>10704990</v>
      </c>
      <c r="F135" s="52">
        <f>+GF!F209</f>
        <v>375653.03</v>
      </c>
      <c r="G135" s="52">
        <f>+GF!G209</f>
        <v>0</v>
      </c>
      <c r="H135" s="52">
        <f>+GF!H209</f>
        <v>375653.03</v>
      </c>
      <c r="I135" s="112"/>
      <c r="J135" s="86" t="str">
        <f>+GF!I209</f>
        <v xml:space="preserve">SB#2 2017 Completed 12/28/18 </v>
      </c>
      <c r="K135" s="86"/>
    </row>
    <row r="136" spans="1:12" ht="13.5" customHeight="1" x14ac:dyDescent="0.25">
      <c r="A136" s="96" t="s">
        <v>551</v>
      </c>
      <c r="E136" s="82">
        <v>10704990</v>
      </c>
      <c r="F136" s="52">
        <f>+GF!F212</f>
        <v>164019.31</v>
      </c>
      <c r="G136" s="52">
        <f>+GF!G212</f>
        <v>0</v>
      </c>
      <c r="H136" s="52">
        <f>+GF!H212</f>
        <v>164019.31</v>
      </c>
      <c r="I136" s="112"/>
      <c r="J136" s="86" t="str">
        <f>+GF!I212</f>
        <v xml:space="preserve">SB#2 2017 Completed 08/31/18 </v>
      </c>
      <c r="K136" s="86"/>
    </row>
    <row r="137" spans="1:12" ht="13.5" customHeight="1" x14ac:dyDescent="0.25">
      <c r="A137" s="96" t="s">
        <v>171</v>
      </c>
      <c r="E137" s="82">
        <v>10704990</v>
      </c>
      <c r="F137" s="52">
        <f>+GF!F215</f>
        <v>58416</v>
      </c>
      <c r="G137" s="52">
        <f>+GF!G215</f>
        <v>0</v>
      </c>
      <c r="H137" s="52">
        <f>+GF!H215</f>
        <v>58416</v>
      </c>
      <c r="I137" s="112"/>
      <c r="J137" s="86" t="str">
        <f>+GF!I215</f>
        <v xml:space="preserve">SB#2 2017 Completed 07/31/18 </v>
      </c>
      <c r="K137" s="86"/>
    </row>
    <row r="138" spans="1:12" x14ac:dyDescent="0.25">
      <c r="A138" s="96" t="s">
        <v>30</v>
      </c>
      <c r="E138" s="82">
        <v>10704990</v>
      </c>
      <c r="F138" s="52">
        <f>+GF!F216</f>
        <v>28926.93</v>
      </c>
      <c r="G138" s="52">
        <f>+GF!G216</f>
        <v>0</v>
      </c>
      <c r="H138" s="52">
        <f>+GF!H216</f>
        <v>28926.93</v>
      </c>
      <c r="I138" s="112"/>
      <c r="J138" s="77" t="str">
        <f>+GF!I216</f>
        <v>SB#2 2017 Completed 12/18/19</v>
      </c>
      <c r="K138" s="87"/>
    </row>
    <row r="139" spans="1:12" x14ac:dyDescent="0.25">
      <c r="E139" s="82"/>
      <c r="I139" s="112"/>
    </row>
    <row r="140" spans="1:12" s="108" customFormat="1" x14ac:dyDescent="0.25">
      <c r="A140" s="108" t="s">
        <v>31</v>
      </c>
      <c r="E140" s="81" t="s">
        <v>0</v>
      </c>
      <c r="F140" s="109">
        <f>+F142</f>
        <v>2000</v>
      </c>
      <c r="G140" s="109">
        <f t="shared" ref="G140:H140" si="16">+G142</f>
        <v>0</v>
      </c>
      <c r="H140" s="109">
        <f t="shared" si="16"/>
        <v>2000</v>
      </c>
      <c r="I140" s="110"/>
      <c r="J140" s="85"/>
      <c r="K140" s="85"/>
      <c r="L140" s="150"/>
    </row>
    <row r="141" spans="1:12" s="108" customFormat="1" x14ac:dyDescent="0.25">
      <c r="E141" s="81"/>
      <c r="F141" s="115"/>
      <c r="G141" s="115"/>
      <c r="H141" s="115"/>
      <c r="I141" s="110"/>
      <c r="J141" s="85"/>
      <c r="K141" s="85"/>
      <c r="L141" s="150"/>
    </row>
    <row r="142" spans="1:12" x14ac:dyDescent="0.25">
      <c r="A142" s="108" t="s">
        <v>120</v>
      </c>
      <c r="B142" s="108" t="s">
        <v>645</v>
      </c>
      <c r="C142" s="108"/>
      <c r="D142" s="108"/>
      <c r="E142" s="81">
        <v>8731</v>
      </c>
      <c r="F142" s="109">
        <f>SUM(F144:F144)</f>
        <v>2000</v>
      </c>
      <c r="G142" s="109">
        <f>SUM(G144:G144)</f>
        <v>0</v>
      </c>
      <c r="H142" s="109">
        <f>SUM(H144:H144)</f>
        <v>2000</v>
      </c>
      <c r="I142" s="110"/>
    </row>
    <row r="143" spans="1:12" x14ac:dyDescent="0.25">
      <c r="A143" s="108"/>
      <c r="B143" s="108"/>
      <c r="C143" s="96" t="s">
        <v>126</v>
      </c>
      <c r="D143" s="108"/>
      <c r="F143" s="115"/>
      <c r="G143" s="115"/>
      <c r="H143" s="115"/>
      <c r="I143" s="110"/>
    </row>
    <row r="144" spans="1:12" x14ac:dyDescent="0.25">
      <c r="A144" s="96" t="s">
        <v>32</v>
      </c>
      <c r="E144" s="82">
        <v>10705990</v>
      </c>
      <c r="F144" s="52">
        <f>+GF!F275</f>
        <v>2000</v>
      </c>
      <c r="G144" s="52">
        <f>+GF!G275</f>
        <v>0</v>
      </c>
      <c r="H144" s="52">
        <f>+GF!H275</f>
        <v>2000</v>
      </c>
      <c r="I144" s="112"/>
      <c r="J144" s="86" t="s">
        <v>94</v>
      </c>
    </row>
    <row r="145" spans="1:13" x14ac:dyDescent="0.25">
      <c r="E145" s="82"/>
      <c r="I145" s="112"/>
    </row>
    <row r="146" spans="1:13" s="108" customFormat="1" ht="12" customHeight="1" x14ac:dyDescent="0.25">
      <c r="A146" s="108" t="s">
        <v>45</v>
      </c>
      <c r="E146" s="81" t="s">
        <v>0</v>
      </c>
      <c r="F146" s="109">
        <f>+F148</f>
        <v>0</v>
      </c>
      <c r="G146" s="109">
        <f t="shared" ref="G146:H146" si="17">+G148</f>
        <v>0</v>
      </c>
      <c r="H146" s="109">
        <f t="shared" si="17"/>
        <v>0</v>
      </c>
      <c r="I146" s="110"/>
      <c r="J146" s="85"/>
      <c r="K146" s="85"/>
      <c r="L146" s="150"/>
    </row>
    <row r="147" spans="1:13" x14ac:dyDescent="0.25">
      <c r="E147" s="82"/>
      <c r="I147" s="112"/>
    </row>
    <row r="148" spans="1:13" ht="12" customHeight="1" x14ac:dyDescent="0.25">
      <c r="A148" s="108" t="s">
        <v>119</v>
      </c>
      <c r="B148" s="108" t="s">
        <v>610</v>
      </c>
      <c r="C148" s="108"/>
      <c r="D148" s="108"/>
      <c r="E148" s="81">
        <v>9940</v>
      </c>
      <c r="F148" s="109">
        <f>SUM(F149:F152)</f>
        <v>0</v>
      </c>
      <c r="G148" s="109">
        <f>SUM(G149:G152)</f>
        <v>0</v>
      </c>
      <c r="H148" s="109">
        <f>SUM(H149:H152)</f>
        <v>0</v>
      </c>
      <c r="I148" s="110"/>
    </row>
    <row r="149" spans="1:13" x14ac:dyDescent="0.25">
      <c r="A149" s="108"/>
      <c r="C149" s="96" t="s">
        <v>79</v>
      </c>
      <c r="F149" s="98"/>
      <c r="G149" s="98"/>
      <c r="H149" s="98"/>
    </row>
    <row r="150" spans="1:13" x14ac:dyDescent="0.25">
      <c r="A150" s="135" t="s">
        <v>47</v>
      </c>
      <c r="E150" s="82">
        <v>10701010</v>
      </c>
      <c r="F150" s="52">
        <f>+GF!F299</f>
        <v>0</v>
      </c>
      <c r="G150" s="52">
        <f>+GF!G299</f>
        <v>0</v>
      </c>
      <c r="H150" s="52">
        <f>+GF!H299</f>
        <v>0</v>
      </c>
      <c r="J150" s="210" t="str">
        <f>+GF!I299</f>
        <v>AB 2017 Re-aligned SB#3 2020</v>
      </c>
      <c r="K150" s="210"/>
    </row>
    <row r="151" spans="1:13" s="52" customFormat="1" x14ac:dyDescent="0.25">
      <c r="A151" s="96"/>
      <c r="B151" s="96"/>
      <c r="C151" s="96" t="s">
        <v>88</v>
      </c>
      <c r="D151" s="96"/>
      <c r="E151" s="76"/>
      <c r="I151" s="96"/>
      <c r="J151" s="77"/>
      <c r="K151" s="77"/>
      <c r="L151" s="149"/>
    </row>
    <row r="152" spans="1:13" s="52" customFormat="1" x14ac:dyDescent="0.25">
      <c r="A152" s="96" t="s">
        <v>58</v>
      </c>
      <c r="B152" s="96"/>
      <c r="C152" s="96"/>
      <c r="D152" s="96"/>
      <c r="E152" s="82">
        <v>10705140</v>
      </c>
      <c r="F152" s="52">
        <f>+GF!F348</f>
        <v>0</v>
      </c>
      <c r="G152" s="52">
        <f>+GF!G348</f>
        <v>0</v>
      </c>
      <c r="H152" s="52">
        <f>+GF!H348</f>
        <v>0</v>
      </c>
      <c r="I152" s="96"/>
      <c r="J152" s="77" t="str">
        <f>+GF!I348</f>
        <v>AB 2017 Re-aligned SB#3 2020</v>
      </c>
      <c r="K152" s="77"/>
      <c r="L152" s="149"/>
    </row>
    <row r="154" spans="1:13" ht="12.75" x14ac:dyDescent="0.2">
      <c r="A154" s="221" t="s">
        <v>188</v>
      </c>
      <c r="B154" s="221"/>
      <c r="C154" s="221"/>
      <c r="D154" s="221"/>
      <c r="E154" s="221"/>
      <c r="F154" s="221"/>
      <c r="G154" s="221"/>
      <c r="H154" s="221"/>
      <c r="I154" s="221"/>
      <c r="J154" s="221"/>
      <c r="K154" s="221"/>
      <c r="L154" s="221"/>
      <c r="M154" s="57"/>
    </row>
    <row r="155" spans="1:13" s="108" customFormat="1" x14ac:dyDescent="0.25">
      <c r="A155" s="108" t="s">
        <v>113</v>
      </c>
      <c r="E155" s="81" t="s">
        <v>0</v>
      </c>
      <c r="F155" s="109">
        <f>+F157+F225+F233+F248</f>
        <v>17465498.349999998</v>
      </c>
      <c r="G155" s="109">
        <f>+G157+G225+G233+G248</f>
        <v>9453777.9299999997</v>
      </c>
      <c r="H155" s="109">
        <f>+H157+H225+H233+H248</f>
        <v>8011720.4199999999</v>
      </c>
      <c r="I155" s="110"/>
      <c r="J155" s="85"/>
      <c r="K155" s="85"/>
      <c r="L155" s="150"/>
    </row>
    <row r="156" spans="1:13" s="108" customFormat="1" x14ac:dyDescent="0.25">
      <c r="E156" s="81"/>
      <c r="F156" s="115"/>
      <c r="G156" s="115"/>
      <c r="H156" s="115"/>
      <c r="I156" s="110"/>
      <c r="J156" s="85"/>
      <c r="K156" s="85"/>
      <c r="L156" s="150"/>
    </row>
    <row r="157" spans="1:13" s="108" customFormat="1" x14ac:dyDescent="0.25">
      <c r="A157" s="108" t="s">
        <v>191</v>
      </c>
      <c r="E157" s="81" t="s">
        <v>0</v>
      </c>
      <c r="F157" s="109">
        <f>+F174+F176+F189+F194</f>
        <v>14758831.029999997</v>
      </c>
      <c r="G157" s="109">
        <f t="shared" ref="G157:H157" si="18">+G174+G176+G189+G194</f>
        <v>9393634.8900000006</v>
      </c>
      <c r="H157" s="109">
        <f t="shared" si="18"/>
        <v>5365196.1400000006</v>
      </c>
      <c r="I157" s="110"/>
      <c r="J157" s="85"/>
      <c r="K157" s="85"/>
      <c r="L157" s="150"/>
    </row>
    <row r="158" spans="1:13" x14ac:dyDescent="0.25">
      <c r="A158" s="100"/>
      <c r="B158" s="100"/>
      <c r="C158" s="100"/>
      <c r="D158" s="100"/>
    </row>
    <row r="159" spans="1:13" x14ac:dyDescent="0.25">
      <c r="A159" s="96" t="s">
        <v>130</v>
      </c>
      <c r="C159" s="113"/>
      <c r="E159" s="82"/>
      <c r="I159" s="112"/>
    </row>
    <row r="160" spans="1:13" x14ac:dyDescent="0.25">
      <c r="A160" s="108" t="s">
        <v>0</v>
      </c>
      <c r="B160" s="108" t="s">
        <v>132</v>
      </c>
      <c r="C160" s="108"/>
      <c r="D160" s="108"/>
      <c r="E160" s="81">
        <v>1011</v>
      </c>
      <c r="F160" s="109">
        <f>SUM(F163:F166)</f>
        <v>317860.5</v>
      </c>
      <c r="G160" s="109">
        <f t="shared" ref="G160:H160" si="19">SUM(G163:G166)</f>
        <v>235600.5</v>
      </c>
      <c r="H160" s="109">
        <f t="shared" si="19"/>
        <v>82260</v>
      </c>
      <c r="I160" s="110"/>
    </row>
    <row r="161" spans="1:11" x14ac:dyDescent="0.25">
      <c r="A161" s="108"/>
      <c r="B161" s="108"/>
      <c r="C161" s="114" t="s">
        <v>80</v>
      </c>
      <c r="F161" s="115"/>
      <c r="G161" s="115"/>
      <c r="H161" s="115"/>
      <c r="I161" s="110"/>
    </row>
    <row r="162" spans="1:11" x14ac:dyDescent="0.25">
      <c r="A162" s="108"/>
      <c r="B162" s="108"/>
      <c r="C162" s="116" t="s">
        <v>115</v>
      </c>
      <c r="F162" s="115"/>
      <c r="G162" s="115"/>
      <c r="H162" s="115"/>
      <c r="I162" s="110"/>
    </row>
    <row r="163" spans="1:11" x14ac:dyDescent="0.25">
      <c r="A163" s="96" t="s">
        <v>1</v>
      </c>
      <c r="E163" s="82">
        <v>10702990</v>
      </c>
      <c r="F163" s="52">
        <f>+GF!F23</f>
        <v>172032</v>
      </c>
      <c r="G163" s="52">
        <f>+GF!G23</f>
        <v>129102</v>
      </c>
      <c r="H163" s="52">
        <f>+GF!H23</f>
        <v>42930</v>
      </c>
      <c r="I163" s="112"/>
      <c r="K163" s="87" t="s">
        <v>137</v>
      </c>
    </row>
    <row r="164" spans="1:11" x14ac:dyDescent="0.25">
      <c r="C164" s="96" t="s">
        <v>81</v>
      </c>
      <c r="I164" s="112"/>
    </row>
    <row r="165" spans="1:11" x14ac:dyDescent="0.25">
      <c r="C165" s="113" t="s">
        <v>114</v>
      </c>
      <c r="E165" s="82"/>
      <c r="I165" s="112"/>
    </row>
    <row r="166" spans="1:11" x14ac:dyDescent="0.25">
      <c r="A166" s="96" t="s">
        <v>3</v>
      </c>
      <c r="E166" s="82">
        <v>10704010</v>
      </c>
      <c r="F166" s="52">
        <f>+GF!F33</f>
        <v>145828.5</v>
      </c>
      <c r="G166" s="52">
        <f>+GF!G33</f>
        <v>106498.5</v>
      </c>
      <c r="H166" s="52">
        <f>+GF!H33</f>
        <v>39330</v>
      </c>
      <c r="I166" s="112"/>
      <c r="K166" s="87" t="s">
        <v>137</v>
      </c>
    </row>
    <row r="167" spans="1:11" x14ac:dyDescent="0.25">
      <c r="C167" s="113"/>
      <c r="E167" s="82"/>
      <c r="I167" s="112"/>
    </row>
    <row r="168" spans="1:11" x14ac:dyDescent="0.25">
      <c r="A168" s="108" t="s">
        <v>119</v>
      </c>
      <c r="B168" s="108" t="s">
        <v>133</v>
      </c>
      <c r="C168" s="108"/>
      <c r="D168" s="108"/>
      <c r="E168" s="81">
        <v>1021</v>
      </c>
      <c r="F168" s="109">
        <f>SUM(F170:F172)</f>
        <v>101847</v>
      </c>
      <c r="G168" s="109">
        <f t="shared" ref="G168:H168" si="20">SUM(G170:G172)</f>
        <v>61816.5</v>
      </c>
      <c r="H168" s="109">
        <f t="shared" si="20"/>
        <v>40030.5</v>
      </c>
      <c r="I168" s="110"/>
    </row>
    <row r="169" spans="1:11" x14ac:dyDescent="0.25">
      <c r="A169" s="108"/>
      <c r="B169" s="108"/>
      <c r="C169" s="96" t="s">
        <v>81</v>
      </c>
      <c r="D169" s="108"/>
      <c r="E169" s="81"/>
      <c r="F169" s="115"/>
      <c r="G169" s="115"/>
      <c r="H169" s="115"/>
      <c r="I169" s="110"/>
    </row>
    <row r="170" spans="1:11" x14ac:dyDescent="0.25">
      <c r="A170" s="96" t="s">
        <v>8</v>
      </c>
      <c r="E170" s="82">
        <v>10704010</v>
      </c>
      <c r="F170" s="52">
        <f>+GF!F49</f>
        <v>6496.5</v>
      </c>
      <c r="G170" s="52">
        <f>+GF!G49</f>
        <v>0</v>
      </c>
      <c r="H170" s="52">
        <f>+GF!H49</f>
        <v>6496.5</v>
      </c>
      <c r="I170" s="112"/>
      <c r="K170" s="87" t="s">
        <v>137</v>
      </c>
    </row>
    <row r="171" spans="1:11" x14ac:dyDescent="0.25">
      <c r="C171" s="96" t="s">
        <v>145</v>
      </c>
      <c r="E171" s="82"/>
      <c r="I171" s="112"/>
      <c r="K171" s="87"/>
    </row>
    <row r="172" spans="1:11" ht="12" customHeight="1" x14ac:dyDescent="0.25">
      <c r="A172" s="96" t="s">
        <v>9</v>
      </c>
      <c r="E172" s="82">
        <v>10707010</v>
      </c>
      <c r="F172" s="52">
        <f>+GF!F51</f>
        <v>95350.5</v>
      </c>
      <c r="G172" s="52">
        <f>+GF!G51</f>
        <v>61816.5</v>
      </c>
      <c r="H172" s="52">
        <f>+GF!H51</f>
        <v>33534</v>
      </c>
      <c r="I172" s="112"/>
      <c r="K172" s="87" t="s">
        <v>137</v>
      </c>
    </row>
    <row r="173" spans="1:11" x14ac:dyDescent="0.25">
      <c r="C173" s="113"/>
      <c r="E173" s="82"/>
      <c r="I173" s="112"/>
    </row>
    <row r="174" spans="1:11" ht="12" customHeight="1" x14ac:dyDescent="0.25">
      <c r="C174" s="122" t="s">
        <v>116</v>
      </c>
      <c r="E174" s="82"/>
      <c r="F174" s="123">
        <f>+F168+F160</f>
        <v>419707.5</v>
      </c>
      <c r="G174" s="123">
        <f t="shared" ref="G174:H174" si="21">+G168+G160</f>
        <v>297417</v>
      </c>
      <c r="H174" s="123">
        <f t="shared" si="21"/>
        <v>122290.5</v>
      </c>
      <c r="I174" s="112"/>
    </row>
    <row r="175" spans="1:11" x14ac:dyDescent="0.25">
      <c r="C175" s="113"/>
      <c r="E175" s="82"/>
      <c r="I175" s="112"/>
    </row>
    <row r="176" spans="1:11" x14ac:dyDescent="0.25">
      <c r="A176" s="108" t="s">
        <v>119</v>
      </c>
      <c r="B176" s="108" t="s">
        <v>134</v>
      </c>
      <c r="C176" s="108"/>
      <c r="D176" s="108"/>
      <c r="E176" s="81">
        <v>1011</v>
      </c>
      <c r="F176" s="109">
        <f>SUM(F178:F187)</f>
        <v>8586113.2899999991</v>
      </c>
      <c r="G176" s="109">
        <f t="shared" ref="G176:H176" si="22">SUM(G178:G187)</f>
        <v>6110272.3599999994</v>
      </c>
      <c r="H176" s="109">
        <f t="shared" si="22"/>
        <v>2475840.9300000002</v>
      </c>
      <c r="I176" s="124">
        <f>SUM(I178:I188)</f>
        <v>0</v>
      </c>
    </row>
    <row r="177" spans="1:12" x14ac:dyDescent="0.25">
      <c r="C177" s="96" t="s">
        <v>81</v>
      </c>
      <c r="E177" s="82"/>
      <c r="I177" s="112"/>
    </row>
    <row r="178" spans="1:12" x14ac:dyDescent="0.25">
      <c r="A178" s="96" t="s">
        <v>2</v>
      </c>
      <c r="E178" s="82">
        <v>10704010</v>
      </c>
      <c r="F178" s="52">
        <f>+GF!F79</f>
        <v>6023100</v>
      </c>
      <c r="G178" s="52">
        <f>+GF!G79</f>
        <v>5747790.2999999998</v>
      </c>
      <c r="H178" s="52">
        <f>+GF!H79</f>
        <v>275309.70000000019</v>
      </c>
      <c r="I178" s="112"/>
      <c r="J178" s="77" t="str">
        <f>+GF!I79</f>
        <v>SB#1 2018 Completed 03/16/20</v>
      </c>
      <c r="K178" s="87"/>
    </row>
    <row r="179" spans="1:12" x14ac:dyDescent="0.25">
      <c r="A179" s="96" t="s">
        <v>4</v>
      </c>
      <c r="E179" s="82">
        <v>10704010</v>
      </c>
      <c r="F179" s="52">
        <f>+GF!F86</f>
        <v>78474.67</v>
      </c>
      <c r="G179" s="52">
        <f>+GF!G86</f>
        <v>0</v>
      </c>
      <c r="H179" s="52">
        <f>+GF!H86</f>
        <v>78474.67</v>
      </c>
      <c r="I179" s="112"/>
      <c r="J179" s="77" t="str">
        <f>+GF!I86</f>
        <v>SB#1 2018 Completed 12/27/19</v>
      </c>
      <c r="K179" s="87"/>
    </row>
    <row r="180" spans="1:12" x14ac:dyDescent="0.25">
      <c r="A180" s="96" t="s">
        <v>5</v>
      </c>
      <c r="E180" s="82">
        <v>10704010</v>
      </c>
      <c r="F180" s="52">
        <f>+GF!F87</f>
        <v>132825.25000000023</v>
      </c>
      <c r="G180" s="52">
        <f>+GF!G87</f>
        <v>7804</v>
      </c>
      <c r="H180" s="52">
        <f>+GF!H87</f>
        <v>125021.25000000023</v>
      </c>
      <c r="I180" s="112"/>
      <c r="J180" s="86" t="str">
        <f>+GF!I87</f>
        <v>AB 2018 Completed 01/24/20</v>
      </c>
    </row>
    <row r="181" spans="1:12" x14ac:dyDescent="0.25">
      <c r="A181" s="96" t="s">
        <v>6</v>
      </c>
      <c r="E181" s="82">
        <v>10704010</v>
      </c>
      <c r="F181" s="52">
        <f>+GF!F89</f>
        <v>216807.2</v>
      </c>
      <c r="G181" s="52">
        <f>+GF!G89</f>
        <v>0</v>
      </c>
      <c r="H181" s="52">
        <f>+GF!H89</f>
        <v>216807.2</v>
      </c>
      <c r="I181" s="112"/>
      <c r="J181" s="86" t="s">
        <v>97</v>
      </c>
    </row>
    <row r="182" spans="1:12" x14ac:dyDescent="0.25">
      <c r="E182" s="82"/>
      <c r="I182" s="112"/>
      <c r="J182" s="86"/>
    </row>
    <row r="183" spans="1:12" ht="13.5" customHeight="1" x14ac:dyDescent="0.25">
      <c r="C183" s="96" t="s">
        <v>198</v>
      </c>
      <c r="I183" s="112"/>
      <c r="J183" s="86"/>
    </row>
    <row r="184" spans="1:12" x14ac:dyDescent="0.25">
      <c r="A184" s="96" t="s">
        <v>232</v>
      </c>
      <c r="E184" s="82">
        <v>10704030</v>
      </c>
      <c r="F184" s="52">
        <f>+GF!F93</f>
        <v>1834906.17</v>
      </c>
      <c r="G184" s="52">
        <f>+GF!G93</f>
        <v>354678.06</v>
      </c>
      <c r="H184" s="52">
        <f>+GF!H93</f>
        <v>1480228.1099999999</v>
      </c>
      <c r="I184" s="112"/>
      <c r="J184" s="86" t="str">
        <f>+GF!I93</f>
        <v>AB 2018</v>
      </c>
    </row>
    <row r="185" spans="1:12" x14ac:dyDescent="0.25">
      <c r="E185" s="82"/>
      <c r="I185" s="112"/>
      <c r="J185" s="91"/>
      <c r="K185" s="91"/>
    </row>
    <row r="186" spans="1:12" x14ac:dyDescent="0.25">
      <c r="C186" s="96" t="s">
        <v>83</v>
      </c>
      <c r="I186" s="112"/>
    </row>
    <row r="187" spans="1:12" x14ac:dyDescent="0.25">
      <c r="A187" s="96" t="s">
        <v>7</v>
      </c>
      <c r="E187" s="82">
        <v>10704990</v>
      </c>
      <c r="F187" s="52">
        <f>+GF!F97</f>
        <v>300000</v>
      </c>
      <c r="G187" s="52">
        <f>+GF!G97</f>
        <v>0</v>
      </c>
      <c r="H187" s="52">
        <f>+GF!H97</f>
        <v>300000</v>
      </c>
      <c r="I187" s="112"/>
      <c r="K187" s="87" t="s">
        <v>139</v>
      </c>
    </row>
    <row r="188" spans="1:12" x14ac:dyDescent="0.25">
      <c r="E188" s="82"/>
      <c r="I188" s="112"/>
      <c r="K188" s="87"/>
    </row>
    <row r="189" spans="1:12" x14ac:dyDescent="0.25">
      <c r="A189" s="108" t="s">
        <v>119</v>
      </c>
      <c r="B189" s="108" t="s">
        <v>535</v>
      </c>
      <c r="C189" s="108"/>
      <c r="D189" s="108"/>
      <c r="E189" s="81">
        <v>1032</v>
      </c>
      <c r="F189" s="109">
        <f>SUM(F190)</f>
        <v>25</v>
      </c>
      <c r="G189" s="109">
        <f t="shared" ref="G189:H189" si="23">SUM(G190)</f>
        <v>0</v>
      </c>
      <c r="H189" s="109">
        <f t="shared" si="23"/>
        <v>25</v>
      </c>
      <c r="I189" s="110"/>
    </row>
    <row r="190" spans="1:12" x14ac:dyDescent="0.25">
      <c r="A190" s="96" t="s">
        <v>11</v>
      </c>
      <c r="E190" s="82">
        <v>10705030</v>
      </c>
      <c r="F190" s="52">
        <f>+GF!F120</f>
        <v>25</v>
      </c>
      <c r="G190" s="52">
        <f>+GF!G120</f>
        <v>0</v>
      </c>
      <c r="H190" s="52">
        <f>+GF!H120</f>
        <v>25</v>
      </c>
      <c r="I190" s="112"/>
      <c r="K190" s="87" t="s">
        <v>96</v>
      </c>
    </row>
    <row r="191" spans="1:12" x14ac:dyDescent="0.25">
      <c r="E191" s="82"/>
      <c r="I191" s="112"/>
    </row>
    <row r="192" spans="1:12" s="108" customFormat="1" x14ac:dyDescent="0.25">
      <c r="A192" s="108" t="s">
        <v>119</v>
      </c>
      <c r="B192" s="108" t="s">
        <v>536</v>
      </c>
      <c r="E192" s="85"/>
      <c r="I192" s="110"/>
      <c r="J192" s="85"/>
      <c r="K192" s="85"/>
      <c r="L192" s="150"/>
    </row>
    <row r="193" spans="1:12" s="108" customFormat="1" x14ac:dyDescent="0.25">
      <c r="C193" s="108" t="s">
        <v>167</v>
      </c>
      <c r="E193" s="81"/>
      <c r="F193" s="115"/>
      <c r="G193" s="115"/>
      <c r="H193" s="115"/>
      <c r="I193" s="110"/>
      <c r="J193" s="85"/>
      <c r="K193" s="85"/>
      <c r="L193" s="150"/>
    </row>
    <row r="194" spans="1:12" s="108" customFormat="1" x14ac:dyDescent="0.25">
      <c r="C194" s="108" t="s">
        <v>168</v>
      </c>
      <c r="E194" s="81">
        <v>1918</v>
      </c>
      <c r="F194" s="109">
        <f>SUM(F196:F222)</f>
        <v>5752985.2399999993</v>
      </c>
      <c r="G194" s="109">
        <f>SUM(G196:G222)</f>
        <v>2985945.5300000003</v>
      </c>
      <c r="H194" s="109">
        <f>SUM(H196:H222)</f>
        <v>2767039.71</v>
      </c>
      <c r="I194" s="110"/>
      <c r="J194" s="85"/>
      <c r="K194" s="85"/>
      <c r="L194" s="150"/>
    </row>
    <row r="195" spans="1:12" x14ac:dyDescent="0.25">
      <c r="A195" s="108"/>
      <c r="B195" s="108"/>
      <c r="C195" s="126" t="s">
        <v>82</v>
      </c>
      <c r="E195" s="82"/>
      <c r="F195" s="98"/>
      <c r="G195" s="98"/>
      <c r="H195" s="98"/>
      <c r="I195" s="110"/>
    </row>
    <row r="196" spans="1:12" ht="40.5" x14ac:dyDescent="0.25">
      <c r="A196" s="96" t="s">
        <v>169</v>
      </c>
      <c r="E196" s="82">
        <v>10703010</v>
      </c>
      <c r="F196" s="52">
        <f>+GF!F145</f>
        <v>98467.799999999814</v>
      </c>
      <c r="G196" s="52">
        <f>+GF!G145</f>
        <v>0</v>
      </c>
      <c r="H196" s="52">
        <f>+GF!H145</f>
        <v>98467.799999999814</v>
      </c>
      <c r="I196" s="112"/>
      <c r="J196" s="203" t="str">
        <f>+GF!I145</f>
        <v>SB#1 2018 Completed 7/26/19</v>
      </c>
      <c r="K196" s="203"/>
      <c r="L196" s="149" t="str">
        <f>+GF!K145</f>
        <v>Accepted July 5th, 2019</v>
      </c>
    </row>
    <row r="197" spans="1:12" x14ac:dyDescent="0.25">
      <c r="A197" s="96" t="s">
        <v>170</v>
      </c>
      <c r="E197" s="82">
        <v>10703010</v>
      </c>
      <c r="F197" s="52">
        <f>+GF!F148</f>
        <v>228502.15000000005</v>
      </c>
      <c r="G197" s="52">
        <f>+GF!G148</f>
        <v>0</v>
      </c>
      <c r="H197" s="52">
        <f>+GF!H148</f>
        <v>228502.15000000005</v>
      </c>
      <c r="I197" s="112"/>
      <c r="J197" s="212" t="str">
        <f>+GF!I148</f>
        <v>SB#1 2018 Completed 5/31/19</v>
      </c>
      <c r="K197" s="212"/>
    </row>
    <row r="198" spans="1:12" x14ac:dyDescent="0.25">
      <c r="E198" s="82"/>
      <c r="I198" s="112"/>
      <c r="J198" s="90"/>
      <c r="K198" s="90"/>
    </row>
    <row r="199" spans="1:12" x14ac:dyDescent="0.25">
      <c r="C199" s="126" t="s">
        <v>118</v>
      </c>
      <c r="E199" s="82"/>
      <c r="I199" s="112"/>
    </row>
    <row r="200" spans="1:12" x14ac:dyDescent="0.25">
      <c r="A200" s="96" t="s">
        <v>12</v>
      </c>
      <c r="E200" s="82">
        <v>10703040</v>
      </c>
      <c r="F200" s="52">
        <f>+GF!F162</f>
        <v>7544</v>
      </c>
      <c r="G200" s="52">
        <f>+GF!G162</f>
        <v>0</v>
      </c>
      <c r="H200" s="52">
        <f>+GF!H162</f>
        <v>7544</v>
      </c>
      <c r="I200" s="112"/>
      <c r="J200" s="86" t="s">
        <v>97</v>
      </c>
    </row>
    <row r="201" spans="1:12" x14ac:dyDescent="0.25">
      <c r="E201" s="82"/>
      <c r="I201" s="112"/>
    </row>
    <row r="202" spans="1:12" x14ac:dyDescent="0.25">
      <c r="C202" s="96" t="s">
        <v>81</v>
      </c>
      <c r="E202" s="82"/>
      <c r="I202" s="112"/>
    </row>
    <row r="203" spans="1:12" x14ac:dyDescent="0.25">
      <c r="A203" s="96" t="s">
        <v>13</v>
      </c>
      <c r="E203" s="82">
        <v>10704010</v>
      </c>
      <c r="F203" s="52">
        <f>+GF!F174</f>
        <v>98539.11</v>
      </c>
      <c r="G203" s="52">
        <f>+GF!G174</f>
        <v>0</v>
      </c>
      <c r="H203" s="52">
        <f>+GF!H174</f>
        <v>98539.11</v>
      </c>
      <c r="I203" s="112"/>
      <c r="J203" s="212" t="s">
        <v>195</v>
      </c>
      <c r="K203" s="212"/>
    </row>
    <row r="204" spans="1:12" x14ac:dyDescent="0.25">
      <c r="A204" s="96" t="s">
        <v>14</v>
      </c>
      <c r="E204" s="82">
        <v>10704010</v>
      </c>
      <c r="F204" s="52">
        <f>+GF!F182</f>
        <v>26230.55</v>
      </c>
      <c r="G204" s="52">
        <f>+GF!G182</f>
        <v>0</v>
      </c>
      <c r="H204" s="52">
        <f>+GF!H182</f>
        <v>26230.55</v>
      </c>
      <c r="I204" s="112"/>
      <c r="J204" s="212" t="s">
        <v>158</v>
      </c>
      <c r="K204" s="212"/>
    </row>
    <row r="205" spans="1:12" x14ac:dyDescent="0.25">
      <c r="A205" s="96" t="s">
        <v>15</v>
      </c>
      <c r="E205" s="82">
        <v>10704010</v>
      </c>
      <c r="F205" s="52">
        <f>+GF!F183</f>
        <v>66215.570000000007</v>
      </c>
      <c r="G205" s="52">
        <f>+GF!G183</f>
        <v>24585.17</v>
      </c>
      <c r="H205" s="52">
        <f>+GF!H183</f>
        <v>41630.400000000009</v>
      </c>
      <c r="I205" s="112"/>
      <c r="J205" s="77" t="str">
        <f>+GF!I183</f>
        <v>SB#1 2018 Completed 01/16/20</v>
      </c>
      <c r="K205" s="87"/>
    </row>
    <row r="206" spans="1:12" x14ac:dyDescent="0.25">
      <c r="A206" s="96" t="s">
        <v>16</v>
      </c>
      <c r="E206" s="82">
        <v>10704010</v>
      </c>
      <c r="F206" s="52">
        <f>+GF!F184</f>
        <v>500000</v>
      </c>
      <c r="G206" s="52">
        <f>+GF!G184</f>
        <v>478513.26</v>
      </c>
      <c r="H206" s="52">
        <f>+GF!H184</f>
        <v>21486.739999999991</v>
      </c>
      <c r="I206" s="112"/>
      <c r="J206" s="212" t="s">
        <v>226</v>
      </c>
      <c r="K206" s="212"/>
    </row>
    <row r="207" spans="1:12" ht="13.5" customHeight="1" x14ac:dyDescent="0.25">
      <c r="A207" s="96" t="s">
        <v>17</v>
      </c>
      <c r="E207" s="82">
        <v>10704010</v>
      </c>
      <c r="F207" s="52">
        <f>+GF!F185</f>
        <v>3917.2</v>
      </c>
      <c r="G207" s="52">
        <f>+GF!G185</f>
        <v>0</v>
      </c>
      <c r="H207" s="52">
        <f>+GF!H185</f>
        <v>3917.2</v>
      </c>
      <c r="I207" s="112"/>
      <c r="J207" s="212" t="s">
        <v>158</v>
      </c>
      <c r="K207" s="212"/>
    </row>
    <row r="208" spans="1:12" x14ac:dyDescent="0.25">
      <c r="E208" s="82"/>
      <c r="I208" s="112"/>
    </row>
    <row r="209" spans="1:11" x14ac:dyDescent="0.25">
      <c r="C209" s="96" t="s">
        <v>83</v>
      </c>
      <c r="E209" s="82"/>
      <c r="I209" s="112"/>
    </row>
    <row r="210" spans="1:11" x14ac:dyDescent="0.25">
      <c r="A210" s="96" t="s">
        <v>18</v>
      </c>
      <c r="E210" s="82">
        <v>10704990</v>
      </c>
      <c r="F210" s="52">
        <f>+GF!F195</f>
        <v>143840.28000000003</v>
      </c>
      <c r="G210" s="52">
        <f>+GF!G195</f>
        <v>0</v>
      </c>
      <c r="H210" s="52">
        <f>+GF!H195</f>
        <v>143840.28000000003</v>
      </c>
      <c r="I210" s="112"/>
      <c r="J210" s="212" t="s">
        <v>202</v>
      </c>
      <c r="K210" s="212"/>
    </row>
    <row r="211" spans="1:11" x14ac:dyDescent="0.25">
      <c r="A211" s="96" t="s">
        <v>19</v>
      </c>
      <c r="E211" s="82">
        <v>10704990</v>
      </c>
      <c r="F211" s="52">
        <f>+GF!F196</f>
        <v>1500000</v>
      </c>
      <c r="G211" s="52">
        <f>+GF!G196</f>
        <v>0</v>
      </c>
      <c r="H211" s="52">
        <f>+GF!H196</f>
        <v>1500000</v>
      </c>
      <c r="I211" s="112"/>
      <c r="K211" s="87" t="s">
        <v>139</v>
      </c>
    </row>
    <row r="212" spans="1:11" ht="13.5" customHeight="1" x14ac:dyDescent="0.25">
      <c r="A212" s="96" t="s">
        <v>21</v>
      </c>
      <c r="E212" s="82">
        <v>10704990</v>
      </c>
      <c r="F212" s="52">
        <f>+GF!F197</f>
        <v>34642.22</v>
      </c>
      <c r="G212" s="52">
        <f>+GF!G197</f>
        <v>0</v>
      </c>
      <c r="H212" s="52">
        <f>+GF!H197</f>
        <v>34642.22</v>
      </c>
      <c r="I212" s="112"/>
      <c r="J212" s="212" t="s">
        <v>159</v>
      </c>
      <c r="K212" s="212"/>
    </row>
    <row r="213" spans="1:11" ht="13.5" customHeight="1" x14ac:dyDescent="0.25">
      <c r="A213" s="96" t="s">
        <v>22</v>
      </c>
      <c r="E213" s="82">
        <v>10704990</v>
      </c>
      <c r="F213" s="52">
        <f>+GF!F200</f>
        <v>18760.86</v>
      </c>
      <c r="G213" s="52">
        <f>+GF!G200</f>
        <v>0</v>
      </c>
      <c r="H213" s="52">
        <f>+GF!H200</f>
        <v>18760.86</v>
      </c>
      <c r="I213" s="112"/>
      <c r="J213" s="86" t="s">
        <v>161</v>
      </c>
      <c r="K213" s="86"/>
    </row>
    <row r="214" spans="1:11" ht="13.5" customHeight="1" x14ac:dyDescent="0.25">
      <c r="A214" s="96" t="s">
        <v>23</v>
      </c>
      <c r="E214" s="82">
        <v>10704990</v>
      </c>
      <c r="F214" s="52">
        <f>+GF!F201</f>
        <v>111349.24</v>
      </c>
      <c r="G214" s="52">
        <f>+GF!G201</f>
        <v>0</v>
      </c>
      <c r="H214" s="52">
        <f>+GF!H201</f>
        <v>111349.24</v>
      </c>
      <c r="I214" s="112"/>
      <c r="J214" s="86" t="s">
        <v>162</v>
      </c>
      <c r="K214" s="86"/>
    </row>
    <row r="215" spans="1:11" ht="13.5" customHeight="1" x14ac:dyDescent="0.25">
      <c r="A215" s="96" t="s">
        <v>24</v>
      </c>
      <c r="E215" s="82">
        <v>10704990</v>
      </c>
      <c r="F215" s="52">
        <f>+GF!F202</f>
        <v>40588.58</v>
      </c>
      <c r="G215" s="52">
        <f>+GF!G202</f>
        <v>0</v>
      </c>
      <c r="H215" s="52">
        <f>+GF!H202</f>
        <v>40588.58</v>
      </c>
      <c r="I215" s="112"/>
      <c r="J215" s="86" t="s">
        <v>160</v>
      </c>
      <c r="K215" s="86"/>
    </row>
    <row r="216" spans="1:11" ht="12.75" customHeight="1" x14ac:dyDescent="0.25">
      <c r="A216" s="96" t="s">
        <v>25</v>
      </c>
      <c r="E216" s="82">
        <v>10704990</v>
      </c>
      <c r="F216" s="52">
        <f>+GF!F203</f>
        <v>68416.539999999994</v>
      </c>
      <c r="G216" s="52">
        <f>+GF!G203</f>
        <v>0</v>
      </c>
      <c r="H216" s="52">
        <f>+GF!H203</f>
        <v>68416.539999999994</v>
      </c>
      <c r="I216" s="112"/>
      <c r="J216" s="86" t="s">
        <v>160</v>
      </c>
      <c r="K216" s="86"/>
    </row>
    <row r="217" spans="1:11" ht="13.5" customHeight="1" x14ac:dyDescent="0.25">
      <c r="A217" s="96" t="s">
        <v>26</v>
      </c>
      <c r="E217" s="82">
        <v>10704990</v>
      </c>
      <c r="F217" s="52">
        <f>+GF!F204</f>
        <v>13450.27</v>
      </c>
      <c r="G217" s="52">
        <f>+GF!G204</f>
        <v>0</v>
      </c>
      <c r="H217" s="52">
        <f>+GF!H204</f>
        <v>13450.27</v>
      </c>
      <c r="I217" s="112"/>
      <c r="J217" s="86" t="s">
        <v>163</v>
      </c>
      <c r="K217" s="86"/>
    </row>
    <row r="218" spans="1:11" ht="12.75" customHeight="1" x14ac:dyDescent="0.25">
      <c r="A218" s="96" t="s">
        <v>27</v>
      </c>
      <c r="E218" s="82">
        <v>10704990</v>
      </c>
      <c r="F218" s="52">
        <f>+GF!F205</f>
        <v>42035.360000000001</v>
      </c>
      <c r="G218" s="52">
        <f>+GF!G205</f>
        <v>0</v>
      </c>
      <c r="H218" s="52">
        <f>+GF!H205</f>
        <v>42035.360000000001</v>
      </c>
      <c r="I218" s="112"/>
      <c r="J218" s="86" t="s">
        <v>160</v>
      </c>
      <c r="K218" s="86"/>
    </row>
    <row r="219" spans="1:11" x14ac:dyDescent="0.25">
      <c r="A219" s="96" t="s">
        <v>128</v>
      </c>
      <c r="E219" s="82">
        <v>10704990</v>
      </c>
      <c r="F219" s="52">
        <f>+GF!F208</f>
        <v>2493483.9</v>
      </c>
      <c r="G219" s="52">
        <f>+GF!G208</f>
        <v>2355580.27</v>
      </c>
      <c r="H219" s="52">
        <f>+GF!H208</f>
        <v>137903.62999999989</v>
      </c>
      <c r="I219" s="112"/>
      <c r="J219" s="203" t="str">
        <f>+GF!I208</f>
        <v>SB#1 2018 Completed 09/11/19</v>
      </c>
      <c r="K219" s="203"/>
    </row>
    <row r="220" spans="1:11" x14ac:dyDescent="0.25">
      <c r="A220" s="126" t="s">
        <v>228</v>
      </c>
      <c r="B220" s="126"/>
      <c r="C220" s="126"/>
      <c r="D220" s="126"/>
      <c r="E220" s="82">
        <v>10704990</v>
      </c>
      <c r="F220" s="52">
        <f>+GF!F211</f>
        <v>143687.89000000001</v>
      </c>
      <c r="G220" s="52">
        <f>+GF!G211</f>
        <v>127266.83</v>
      </c>
      <c r="H220" s="52">
        <f>+GF!H211</f>
        <v>16421.060000000012</v>
      </c>
      <c r="I220" s="112"/>
      <c r="J220" s="77" t="str">
        <f>+GF!I211</f>
        <v>AB 2018 Completed June 10, 2020</v>
      </c>
      <c r="K220" s="87"/>
    </row>
    <row r="221" spans="1:11" x14ac:dyDescent="0.25">
      <c r="A221" s="96" t="s">
        <v>28</v>
      </c>
      <c r="E221" s="82">
        <v>10704990</v>
      </c>
      <c r="F221" s="52">
        <f>+GF!F213</f>
        <v>80001.969999999972</v>
      </c>
      <c r="G221" s="52">
        <f>+GF!G213</f>
        <v>0</v>
      </c>
      <c r="H221" s="52">
        <f>+GF!H213</f>
        <v>80001.969999999972</v>
      </c>
      <c r="I221" s="112"/>
      <c r="J221" s="77" t="str">
        <f>+GF!I213</f>
        <v>SB#2 2018 Completed 07/20/19</v>
      </c>
      <c r="K221" s="87"/>
    </row>
    <row r="222" spans="1:11" ht="13.5" customHeight="1" x14ac:dyDescent="0.25">
      <c r="A222" s="96" t="s">
        <v>29</v>
      </c>
      <c r="E222" s="82">
        <v>10704990</v>
      </c>
      <c r="F222" s="52">
        <f>+GF!F214</f>
        <v>33311.75</v>
      </c>
      <c r="G222" s="52">
        <f>+GF!G214</f>
        <v>0</v>
      </c>
      <c r="H222" s="52">
        <f>+GF!H214</f>
        <v>33311.75</v>
      </c>
      <c r="I222" s="112"/>
      <c r="J222" s="212" t="s">
        <v>158</v>
      </c>
      <c r="K222" s="212"/>
    </row>
    <row r="224" spans="1:11" x14ac:dyDescent="0.25">
      <c r="E224" s="82"/>
      <c r="I224" s="112"/>
    </row>
    <row r="225" spans="1:12" x14ac:dyDescent="0.25">
      <c r="A225" s="108" t="s">
        <v>123</v>
      </c>
      <c r="E225" s="82"/>
      <c r="F225" s="109">
        <f>+F230+F227</f>
        <v>704004</v>
      </c>
      <c r="G225" s="109">
        <f t="shared" ref="G225:H225" si="24">+G230+G227</f>
        <v>0</v>
      </c>
      <c r="H225" s="109">
        <f t="shared" si="24"/>
        <v>704004</v>
      </c>
      <c r="I225" s="112"/>
    </row>
    <row r="226" spans="1:12" x14ac:dyDescent="0.25">
      <c r="I226" s="112"/>
    </row>
    <row r="227" spans="1:12" x14ac:dyDescent="0.25">
      <c r="B227" s="108" t="s">
        <v>537</v>
      </c>
      <c r="E227" s="81">
        <v>4421</v>
      </c>
      <c r="F227" s="109">
        <f>SUM(F228:F228)</f>
        <v>604004</v>
      </c>
      <c r="G227" s="109">
        <f>SUM(G228:G228)</f>
        <v>0</v>
      </c>
      <c r="H227" s="109">
        <f>SUM(H228:H228)</f>
        <v>604004</v>
      </c>
      <c r="I227" s="112"/>
    </row>
    <row r="228" spans="1:12" x14ac:dyDescent="0.25">
      <c r="A228" s="96" t="s">
        <v>196</v>
      </c>
      <c r="E228" s="82">
        <v>10704030</v>
      </c>
      <c r="F228" s="52">
        <f>+GF!F241</f>
        <v>604004</v>
      </c>
      <c r="G228" s="52">
        <f>+GF!G241</f>
        <v>0</v>
      </c>
      <c r="H228" s="52">
        <f>+GF!H241</f>
        <v>604004</v>
      </c>
      <c r="I228" s="112"/>
      <c r="J228" s="77" t="s">
        <v>97</v>
      </c>
      <c r="K228" s="87"/>
    </row>
    <row r="229" spans="1:12" x14ac:dyDescent="0.25">
      <c r="I229" s="112"/>
    </row>
    <row r="230" spans="1:12" x14ac:dyDescent="0.25">
      <c r="B230" s="108" t="s">
        <v>538</v>
      </c>
      <c r="E230" s="81" t="s">
        <v>125</v>
      </c>
      <c r="F230" s="109">
        <f>+F231</f>
        <v>100000</v>
      </c>
      <c r="G230" s="109">
        <f t="shared" ref="G230:H230" si="25">+G231</f>
        <v>0</v>
      </c>
      <c r="H230" s="109">
        <f t="shared" si="25"/>
        <v>100000</v>
      </c>
      <c r="I230" s="112"/>
    </row>
    <row r="231" spans="1:12" x14ac:dyDescent="0.25">
      <c r="A231" s="96" t="s">
        <v>124</v>
      </c>
      <c r="E231" s="82">
        <v>10705110</v>
      </c>
      <c r="F231" s="52">
        <f>+GF!F261</f>
        <v>100000</v>
      </c>
      <c r="G231" s="52">
        <f>+GF!G261</f>
        <v>0</v>
      </c>
      <c r="H231" s="52">
        <f>+GF!H261</f>
        <v>100000</v>
      </c>
      <c r="I231" s="112"/>
      <c r="K231" s="87" t="s">
        <v>139</v>
      </c>
    </row>
    <row r="232" spans="1:12" x14ac:dyDescent="0.25">
      <c r="E232" s="82"/>
      <c r="I232" s="112"/>
    </row>
    <row r="233" spans="1:12" s="108" customFormat="1" x14ac:dyDescent="0.25">
      <c r="A233" s="108" t="s">
        <v>31</v>
      </c>
      <c r="E233" s="81" t="s">
        <v>0</v>
      </c>
      <c r="F233" s="109">
        <f>+F235+F243</f>
        <v>2002663.3199999998</v>
      </c>
      <c r="G233" s="109">
        <f>+G235+G243</f>
        <v>60143.040000000001</v>
      </c>
      <c r="H233" s="109">
        <f>+H235+H243</f>
        <v>1942520.2799999998</v>
      </c>
      <c r="I233" s="110"/>
      <c r="J233" s="85"/>
      <c r="K233" s="85"/>
      <c r="L233" s="150"/>
    </row>
    <row r="234" spans="1:12" s="108" customFormat="1" x14ac:dyDescent="0.25">
      <c r="E234" s="81"/>
      <c r="F234" s="115"/>
      <c r="G234" s="115"/>
      <c r="H234" s="115"/>
      <c r="I234" s="110"/>
      <c r="J234" s="85"/>
      <c r="K234" s="85"/>
      <c r="L234" s="150"/>
    </row>
    <row r="235" spans="1:12" x14ac:dyDescent="0.25">
      <c r="A235" s="108" t="s">
        <v>119</v>
      </c>
      <c r="B235" s="108" t="s">
        <v>539</v>
      </c>
      <c r="C235" s="108"/>
      <c r="D235" s="108"/>
      <c r="E235" s="81">
        <v>8751</v>
      </c>
      <c r="F235" s="109">
        <f>SUM(F238:F241)</f>
        <v>374120.78999999992</v>
      </c>
      <c r="G235" s="109">
        <f t="shared" ref="G235:H235" si="26">SUM(G238:G241)</f>
        <v>60143.040000000001</v>
      </c>
      <c r="H235" s="109">
        <f t="shared" si="26"/>
        <v>313977.74999999994</v>
      </c>
      <c r="I235" s="110"/>
    </row>
    <row r="236" spans="1:12" x14ac:dyDescent="0.25">
      <c r="A236" s="108"/>
      <c r="B236" s="108"/>
      <c r="C236" s="108"/>
      <c r="D236" s="108"/>
      <c r="E236" s="81"/>
      <c r="F236" s="115"/>
      <c r="G236" s="115"/>
      <c r="H236" s="115"/>
      <c r="I236" s="110"/>
    </row>
    <row r="237" spans="1:12" x14ac:dyDescent="0.25">
      <c r="C237" s="126" t="s">
        <v>142</v>
      </c>
      <c r="E237" s="82"/>
      <c r="I237" s="112"/>
    </row>
    <row r="238" spans="1:12" x14ac:dyDescent="0.25">
      <c r="A238" s="96" t="s">
        <v>34</v>
      </c>
      <c r="E238" s="82">
        <v>10703010</v>
      </c>
      <c r="F238" s="52">
        <f>+GF!F279</f>
        <v>348215.22</v>
      </c>
      <c r="G238" s="52">
        <f>+GF!G279</f>
        <v>60143.040000000001</v>
      </c>
      <c r="H238" s="52">
        <f>+GF!H279</f>
        <v>288072.18</v>
      </c>
      <c r="I238" s="112"/>
      <c r="J238" s="86" t="s">
        <v>97</v>
      </c>
    </row>
    <row r="239" spans="1:12" x14ac:dyDescent="0.25">
      <c r="A239" s="108"/>
      <c r="B239" s="108"/>
      <c r="C239" s="108"/>
      <c r="D239" s="108"/>
      <c r="E239" s="81"/>
      <c r="F239" s="115"/>
      <c r="G239" s="115"/>
      <c r="H239" s="115"/>
      <c r="I239" s="110"/>
    </row>
    <row r="240" spans="1:12" x14ac:dyDescent="0.25">
      <c r="A240" s="108"/>
      <c r="B240" s="108"/>
      <c r="C240" s="126" t="s">
        <v>141</v>
      </c>
      <c r="D240" s="108"/>
      <c r="E240" s="81"/>
      <c r="F240" s="115"/>
      <c r="G240" s="115"/>
      <c r="H240" s="115"/>
      <c r="I240" s="110"/>
    </row>
    <row r="241" spans="1:12" x14ac:dyDescent="0.25">
      <c r="A241" s="96" t="s">
        <v>33</v>
      </c>
      <c r="E241" s="82">
        <v>10704010</v>
      </c>
      <c r="F241" s="52">
        <f>+GF!F282</f>
        <v>25905.569999999949</v>
      </c>
      <c r="G241" s="52">
        <f>+GF!G282</f>
        <v>0</v>
      </c>
      <c r="H241" s="52">
        <f>+GF!H282</f>
        <v>25905.569999999949</v>
      </c>
      <c r="I241" s="112"/>
      <c r="J241" s="86" t="s">
        <v>219</v>
      </c>
    </row>
    <row r="242" spans="1:12" x14ac:dyDescent="0.25">
      <c r="E242" s="82"/>
      <c r="I242" s="112"/>
    </row>
    <row r="243" spans="1:12" x14ac:dyDescent="0.25">
      <c r="A243" s="108" t="s">
        <v>121</v>
      </c>
      <c r="B243" s="108" t="s">
        <v>540</v>
      </c>
      <c r="C243" s="108"/>
      <c r="D243" s="108"/>
      <c r="E243" s="81">
        <v>8917</v>
      </c>
      <c r="F243" s="109">
        <f>SUM(F245:F246)</f>
        <v>1628542.5299999998</v>
      </c>
      <c r="G243" s="109">
        <f t="shared" ref="G243:H243" si="27">SUM(G245:G246)</f>
        <v>0</v>
      </c>
      <c r="H243" s="109">
        <f t="shared" si="27"/>
        <v>1628542.5299999998</v>
      </c>
      <c r="I243" s="110"/>
    </row>
    <row r="244" spans="1:12" x14ac:dyDescent="0.25">
      <c r="A244" s="108"/>
      <c r="B244" s="108"/>
      <c r="C244" s="126" t="s">
        <v>142</v>
      </c>
      <c r="D244" s="108"/>
      <c r="F244" s="115"/>
      <c r="G244" s="115"/>
      <c r="H244" s="115"/>
      <c r="I244" s="110"/>
    </row>
    <row r="245" spans="1:12" x14ac:dyDescent="0.25">
      <c r="A245" s="96" t="s">
        <v>43</v>
      </c>
      <c r="E245" s="82">
        <v>10703010</v>
      </c>
      <c r="F245" s="52">
        <f>+GF!F292</f>
        <v>1054359.43</v>
      </c>
      <c r="G245" s="52">
        <f>+GF!G292</f>
        <v>0</v>
      </c>
      <c r="H245" s="52">
        <f>+GF!H292</f>
        <v>1054359.43</v>
      </c>
      <c r="I245" s="112"/>
      <c r="J245" s="86" t="s">
        <v>97</v>
      </c>
    </row>
    <row r="246" spans="1:12" x14ac:dyDescent="0.25">
      <c r="A246" s="96" t="s">
        <v>44</v>
      </c>
      <c r="E246" s="82">
        <v>10703010</v>
      </c>
      <c r="F246" s="52">
        <f>+GF!F293</f>
        <v>574183.1</v>
      </c>
      <c r="G246" s="52">
        <f>+GF!G293</f>
        <v>0</v>
      </c>
      <c r="H246" s="52">
        <f>+GF!H293</f>
        <v>574183.1</v>
      </c>
      <c r="I246" s="112"/>
      <c r="J246" s="86" t="s">
        <v>97</v>
      </c>
    </row>
    <row r="247" spans="1:12" x14ac:dyDescent="0.25">
      <c r="E247" s="82"/>
      <c r="I247" s="112"/>
    </row>
    <row r="248" spans="1:12" s="108" customFormat="1" x14ac:dyDescent="0.25">
      <c r="A248" s="108" t="s">
        <v>45</v>
      </c>
      <c r="E248" s="81" t="s">
        <v>0</v>
      </c>
      <c r="F248" s="109">
        <f>+F250</f>
        <v>0</v>
      </c>
      <c r="G248" s="109">
        <f t="shared" ref="G248:H248" si="28">+G250</f>
        <v>0</v>
      </c>
      <c r="H248" s="109">
        <f t="shared" si="28"/>
        <v>0</v>
      </c>
      <c r="I248" s="110"/>
      <c r="J248" s="85"/>
      <c r="K248" s="85"/>
      <c r="L248" s="150"/>
    </row>
    <row r="249" spans="1:12" x14ac:dyDescent="0.25">
      <c r="E249" s="82"/>
      <c r="I249" s="112"/>
    </row>
    <row r="250" spans="1:12" ht="12" customHeight="1" x14ac:dyDescent="0.25">
      <c r="A250" s="108" t="s">
        <v>119</v>
      </c>
      <c r="B250" s="108" t="s">
        <v>541</v>
      </c>
      <c r="C250" s="108"/>
      <c r="D250" s="108"/>
      <c r="E250" s="81">
        <v>9940</v>
      </c>
      <c r="F250" s="109">
        <f>SUM(F251:F259)</f>
        <v>0</v>
      </c>
      <c r="G250" s="109">
        <f>SUM(G251:G259)</f>
        <v>0</v>
      </c>
      <c r="H250" s="109">
        <f>SUM(H251:H259)</f>
        <v>0</v>
      </c>
      <c r="I250" s="110"/>
    </row>
    <row r="251" spans="1:12" x14ac:dyDescent="0.25">
      <c r="C251" s="96" t="s">
        <v>80</v>
      </c>
    </row>
    <row r="252" spans="1:12" x14ac:dyDescent="0.25">
      <c r="A252" s="96" t="s">
        <v>49</v>
      </c>
      <c r="E252" s="82">
        <v>10702990</v>
      </c>
      <c r="F252" s="52">
        <f>+GF!F303</f>
        <v>0</v>
      </c>
      <c r="G252" s="52">
        <f>+GF!G303</f>
        <v>0</v>
      </c>
      <c r="H252" s="52">
        <f>+GF!H303</f>
        <v>0</v>
      </c>
      <c r="J252" s="220" t="str">
        <f>+GF!I303</f>
        <v>SB#3 2018 Re-aligned SB#3 2020</v>
      </c>
      <c r="K252" s="220"/>
    </row>
    <row r="253" spans="1:12" x14ac:dyDescent="0.25">
      <c r="C253" s="96" t="s">
        <v>82</v>
      </c>
    </row>
    <row r="254" spans="1:12" x14ac:dyDescent="0.25">
      <c r="A254" s="96" t="s">
        <v>50</v>
      </c>
      <c r="E254" s="82">
        <v>10703010</v>
      </c>
      <c r="F254" s="52">
        <f>+GF!F306</f>
        <v>0</v>
      </c>
      <c r="G254" s="52">
        <f>+GF!G306</f>
        <v>0</v>
      </c>
      <c r="H254" s="52">
        <f>+GF!H306</f>
        <v>0</v>
      </c>
      <c r="J254" s="77" t="str">
        <f>+GF!I306</f>
        <v>AB 2018 Re-aligned SB#3 2020</v>
      </c>
    </row>
    <row r="255" spans="1:12" x14ac:dyDescent="0.25">
      <c r="A255" s="96" t="s">
        <v>51</v>
      </c>
      <c r="E255" s="82">
        <v>10703010</v>
      </c>
      <c r="F255" s="52">
        <f>+GF!F312</f>
        <v>0</v>
      </c>
      <c r="G255" s="52">
        <f>+GF!G312</f>
        <v>0</v>
      </c>
      <c r="H255" s="52">
        <f>+GF!H312</f>
        <v>0</v>
      </c>
      <c r="J255" s="77" t="str">
        <f>+GF!I312</f>
        <v>AB 2018 Re-aligned SB#3 2020</v>
      </c>
    </row>
    <row r="256" spans="1:12" x14ac:dyDescent="0.25">
      <c r="C256" s="96" t="s">
        <v>86</v>
      </c>
      <c r="E256" s="82"/>
    </row>
    <row r="257" spans="1:26" x14ac:dyDescent="0.25">
      <c r="A257" s="96" t="s">
        <v>85</v>
      </c>
      <c r="E257" s="82">
        <v>10705040</v>
      </c>
      <c r="F257" s="52">
        <f>+GF!F340</f>
        <v>0</v>
      </c>
      <c r="G257" s="52">
        <f>+GF!G340</f>
        <v>0</v>
      </c>
      <c r="H257" s="52">
        <f>+GF!H340</f>
        <v>0</v>
      </c>
      <c r="J257" s="77" t="str">
        <f>+GF!I340</f>
        <v>AB 2018 Re-aligned SB#3 2020</v>
      </c>
    </row>
    <row r="258" spans="1:26" x14ac:dyDescent="0.25">
      <c r="C258" s="96" t="s">
        <v>87</v>
      </c>
    </row>
    <row r="259" spans="1:26" x14ac:dyDescent="0.25">
      <c r="A259" s="96" t="s">
        <v>58</v>
      </c>
      <c r="E259" s="82">
        <v>10705090</v>
      </c>
      <c r="F259" s="52">
        <f>+GF!F343</f>
        <v>0</v>
      </c>
      <c r="G259" s="52">
        <f>+GF!G343</f>
        <v>0</v>
      </c>
      <c r="H259" s="52">
        <f>+GF!H343</f>
        <v>0</v>
      </c>
      <c r="J259" s="77" t="str">
        <f>+GF!I343</f>
        <v>AB 2018 Re-aligned SB#3 2020</v>
      </c>
    </row>
    <row r="260" spans="1:26" x14ac:dyDescent="0.25">
      <c r="C260" s="113"/>
      <c r="E260" s="82"/>
      <c r="I260" s="112"/>
    </row>
    <row r="261" spans="1:26" ht="12.75" x14ac:dyDescent="0.2">
      <c r="A261" s="221" t="s">
        <v>534</v>
      </c>
      <c r="B261" s="221"/>
      <c r="C261" s="221"/>
      <c r="D261" s="221"/>
      <c r="E261" s="221"/>
      <c r="F261" s="221"/>
      <c r="G261" s="221"/>
      <c r="H261" s="221"/>
      <c r="I261" s="221"/>
      <c r="J261" s="221"/>
      <c r="K261" s="221"/>
      <c r="L261" s="221"/>
      <c r="M261" s="57"/>
    </row>
    <row r="262" spans="1:26" x14ac:dyDescent="0.25">
      <c r="A262" s="108" t="s">
        <v>113</v>
      </c>
      <c r="B262" s="108"/>
      <c r="C262" s="108"/>
      <c r="D262" s="108"/>
      <c r="E262" s="81" t="s">
        <v>0</v>
      </c>
      <c r="F262" s="109">
        <f>+F264+F377+F403+F411</f>
        <v>70743822.530000001</v>
      </c>
      <c r="G262" s="109">
        <f>+G264+G377+G403+G411</f>
        <v>54800729.619999997</v>
      </c>
      <c r="H262" s="109">
        <f>+H264+H377+H403+H411</f>
        <v>15943092.909999996</v>
      </c>
      <c r="I262" s="110"/>
      <c r="J262" s="85"/>
      <c r="K262" s="85"/>
    </row>
    <row r="263" spans="1:26" x14ac:dyDescent="0.25">
      <c r="A263" s="108"/>
      <c r="B263" s="108"/>
      <c r="C263" s="108"/>
      <c r="D263" s="108"/>
      <c r="E263" s="81"/>
      <c r="F263" s="115"/>
      <c r="G263" s="115"/>
      <c r="H263" s="115"/>
      <c r="I263" s="110"/>
      <c r="J263" s="85"/>
      <c r="K263" s="85"/>
    </row>
    <row r="264" spans="1:26" x14ac:dyDescent="0.25">
      <c r="A264" s="108" t="s">
        <v>191</v>
      </c>
      <c r="B264" s="108"/>
      <c r="C264" s="108"/>
      <c r="D264" s="108"/>
      <c r="E264" s="81" t="s">
        <v>0</v>
      </c>
      <c r="F264" s="109">
        <f>+F266+F288+F291+F298+F303</f>
        <v>57776105.5</v>
      </c>
      <c r="G264" s="109">
        <f t="shared" ref="G264:H264" si="29">+G266+G288+G291+G298+G303</f>
        <v>46453384.479999997</v>
      </c>
      <c r="H264" s="109">
        <f t="shared" si="29"/>
        <v>11322721.019999996</v>
      </c>
      <c r="I264" s="110"/>
      <c r="J264" s="85"/>
      <c r="K264" s="85"/>
    </row>
    <row r="265" spans="1:26" x14ac:dyDescent="0.25">
      <c r="C265" s="113"/>
      <c r="E265" s="82"/>
      <c r="I265" s="112"/>
    </row>
    <row r="266" spans="1:26" x14ac:dyDescent="0.25">
      <c r="A266" s="108" t="s">
        <v>119</v>
      </c>
      <c r="B266" s="108" t="s">
        <v>197</v>
      </c>
      <c r="C266" s="108"/>
      <c r="D266" s="108"/>
      <c r="E266" s="81">
        <v>1011</v>
      </c>
      <c r="F266" s="109">
        <f>SUM(F268:F286)</f>
        <v>11400151.050000001</v>
      </c>
      <c r="G266" s="109">
        <f t="shared" ref="G266:H266" si="30">SUM(G268:G286)</f>
        <v>10416254.719999999</v>
      </c>
      <c r="H266" s="109">
        <f t="shared" si="30"/>
        <v>983896.33000000007</v>
      </c>
      <c r="I266" s="124">
        <f>SUM(I273:I277)</f>
        <v>0</v>
      </c>
      <c r="L266" s="142"/>
      <c r="M266" s="101"/>
      <c r="N266" s="52"/>
      <c r="O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</row>
    <row r="267" spans="1:26" x14ac:dyDescent="0.25">
      <c r="A267" s="108"/>
      <c r="B267" s="108"/>
      <c r="C267" s="96" t="s">
        <v>242</v>
      </c>
      <c r="E267" s="81"/>
      <c r="F267" s="115"/>
      <c r="G267" s="115"/>
      <c r="H267" s="115"/>
      <c r="I267" s="125"/>
      <c r="L267" s="142"/>
      <c r="M267" s="101"/>
      <c r="N267" s="52"/>
      <c r="O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</row>
    <row r="268" spans="1:26" x14ac:dyDescent="0.25">
      <c r="A268" s="108"/>
      <c r="B268" s="108"/>
      <c r="C268" s="108"/>
      <c r="D268" s="96" t="s">
        <v>243</v>
      </c>
      <c r="E268" s="82">
        <v>10703040</v>
      </c>
      <c r="F268" s="120">
        <f>+GF!F74</f>
        <v>3163167.71</v>
      </c>
      <c r="G268" s="120">
        <f>+GF!G74</f>
        <v>3112613.82</v>
      </c>
      <c r="H268" s="120">
        <f>+GF!H74</f>
        <v>50553.89000000013</v>
      </c>
      <c r="I268" s="125"/>
      <c r="K268" s="87" t="s">
        <v>247</v>
      </c>
      <c r="L268" s="92"/>
      <c r="M268" s="117"/>
      <c r="N268" s="118"/>
      <c r="O268" s="118"/>
      <c r="Q268" s="52"/>
      <c r="R268" s="52"/>
      <c r="S268" s="52"/>
      <c r="T268" s="52"/>
      <c r="U268" s="52"/>
      <c r="V268" s="52"/>
      <c r="W268" s="52"/>
      <c r="X268" s="52"/>
      <c r="Y268" s="52"/>
      <c r="Z268" s="52"/>
    </row>
    <row r="269" spans="1:26" x14ac:dyDescent="0.25">
      <c r="A269" s="108"/>
      <c r="B269" s="108"/>
      <c r="C269" s="108"/>
      <c r="D269" s="96" t="s">
        <v>246</v>
      </c>
      <c r="E269" s="82">
        <v>10703040</v>
      </c>
      <c r="F269" s="120">
        <f>+GF!F75</f>
        <v>683439.99</v>
      </c>
      <c r="G269" s="120">
        <f>+GF!G75</f>
        <v>630566.52</v>
      </c>
      <c r="H269" s="120">
        <f>+GF!H75</f>
        <v>52873.469999999972</v>
      </c>
      <c r="I269" s="125"/>
      <c r="K269" s="87" t="s">
        <v>247</v>
      </c>
      <c r="L269" s="92"/>
      <c r="M269" s="117"/>
      <c r="N269" s="118"/>
      <c r="O269" s="118"/>
      <c r="Q269" s="52"/>
      <c r="R269" s="52"/>
      <c r="S269" s="52"/>
      <c r="T269" s="52"/>
      <c r="U269" s="52"/>
      <c r="V269" s="52"/>
      <c r="W269" s="52"/>
      <c r="X269" s="52"/>
      <c r="Y269" s="52"/>
      <c r="Z269" s="52"/>
    </row>
    <row r="270" spans="1:26" x14ac:dyDescent="0.25">
      <c r="A270" s="108"/>
      <c r="B270" s="108"/>
      <c r="C270" s="108"/>
      <c r="D270" s="96" t="s">
        <v>245</v>
      </c>
      <c r="E270" s="82">
        <v>10703040</v>
      </c>
      <c r="F270" s="120">
        <f>+GF!F76</f>
        <v>141552.32000000001</v>
      </c>
      <c r="G270" s="120">
        <f>+GF!G76</f>
        <v>118540</v>
      </c>
      <c r="H270" s="120">
        <f>+GF!H76</f>
        <v>23012.320000000007</v>
      </c>
      <c r="I270" s="125"/>
      <c r="K270" s="87" t="s">
        <v>247</v>
      </c>
      <c r="L270" s="92"/>
      <c r="M270" s="117"/>
      <c r="N270" s="118"/>
      <c r="O270" s="118"/>
      <c r="Q270" s="52"/>
      <c r="R270" s="52"/>
      <c r="S270" s="52"/>
      <c r="T270" s="52"/>
      <c r="U270" s="52"/>
      <c r="V270" s="52"/>
      <c r="W270" s="52"/>
      <c r="X270" s="52"/>
      <c r="Y270" s="52"/>
      <c r="Z270" s="52"/>
    </row>
    <row r="271" spans="1:26" x14ac:dyDescent="0.25">
      <c r="A271" s="108"/>
      <c r="B271" s="108"/>
      <c r="C271" s="108"/>
      <c r="D271" s="108"/>
      <c r="E271" s="81"/>
      <c r="F271" s="115"/>
      <c r="G271" s="115"/>
      <c r="H271" s="115"/>
      <c r="I271" s="125"/>
      <c r="L271" s="142"/>
      <c r="M271" s="101"/>
      <c r="N271" s="52"/>
      <c r="O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</row>
    <row r="272" spans="1:26" x14ac:dyDescent="0.25">
      <c r="C272" s="96" t="s">
        <v>81</v>
      </c>
      <c r="E272" s="82"/>
      <c r="I272" s="112"/>
      <c r="L272" s="142"/>
      <c r="M272" s="101"/>
      <c r="N272" s="52"/>
      <c r="O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</row>
    <row r="273" spans="1:26" x14ac:dyDescent="0.25">
      <c r="D273" s="96" t="s">
        <v>254</v>
      </c>
      <c r="E273" s="82">
        <v>10704010</v>
      </c>
      <c r="F273" s="52">
        <f>+GF!F80</f>
        <v>3482602.69</v>
      </c>
      <c r="G273" s="52">
        <f>+GF!G80</f>
        <v>3178767.13</v>
      </c>
      <c r="H273" s="52">
        <f>+GF!H80</f>
        <v>303835.56000000006</v>
      </c>
      <c r="I273" s="112"/>
      <c r="J273" s="86"/>
      <c r="K273" s="87" t="s">
        <v>247</v>
      </c>
      <c r="L273" s="92"/>
      <c r="M273" s="117"/>
      <c r="N273" s="118"/>
      <c r="O273" s="118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</row>
    <row r="274" spans="1:26" x14ac:dyDescent="0.25">
      <c r="D274" s="96" t="s">
        <v>253</v>
      </c>
      <c r="E274" s="82">
        <v>10704010</v>
      </c>
      <c r="F274" s="52">
        <f>+GF!F81</f>
        <v>3000000</v>
      </c>
      <c r="G274" s="52">
        <f>+GF!G81</f>
        <v>3000000</v>
      </c>
      <c r="H274" s="52">
        <f>+GF!H81</f>
        <v>0</v>
      </c>
      <c r="I274" s="112"/>
      <c r="J274" s="86"/>
      <c r="K274" s="87" t="s">
        <v>247</v>
      </c>
      <c r="L274" s="92"/>
      <c r="M274" s="117"/>
      <c r="N274" s="118"/>
      <c r="O274" s="118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</row>
    <row r="275" spans="1:26" x14ac:dyDescent="0.25">
      <c r="D275" s="96" t="s">
        <v>252</v>
      </c>
      <c r="E275" s="82">
        <v>10704010</v>
      </c>
      <c r="F275" s="52">
        <f>+GF!F88</f>
        <v>396293</v>
      </c>
      <c r="G275" s="52">
        <f>+GF!G88</f>
        <v>375767.25</v>
      </c>
      <c r="H275" s="52">
        <f>+GF!H88</f>
        <v>20525.75</v>
      </c>
      <c r="I275" s="112"/>
      <c r="J275" s="86"/>
      <c r="K275" s="87" t="s">
        <v>249</v>
      </c>
      <c r="L275" s="92"/>
      <c r="M275" s="117"/>
      <c r="N275" s="118"/>
      <c r="O275" s="118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</row>
    <row r="276" spans="1:26" x14ac:dyDescent="0.25">
      <c r="D276" s="96" t="s">
        <v>251</v>
      </c>
      <c r="E276" s="82">
        <v>10704010</v>
      </c>
      <c r="F276" s="52">
        <f>+GF!F90</f>
        <v>103095.33999999985</v>
      </c>
      <c r="G276" s="52">
        <f>+GF!G90</f>
        <v>0</v>
      </c>
      <c r="H276" s="52">
        <f>+GF!H90</f>
        <v>103095.33999999985</v>
      </c>
      <c r="I276" s="112"/>
      <c r="J276" s="86" t="s">
        <v>511</v>
      </c>
      <c r="L276" s="142"/>
      <c r="M276" s="101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</row>
    <row r="277" spans="1:26" x14ac:dyDescent="0.25">
      <c r="E277" s="82"/>
      <c r="I277" s="112"/>
      <c r="J277" s="86"/>
      <c r="L277" s="142"/>
      <c r="M277" s="101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</row>
    <row r="278" spans="1:26" x14ac:dyDescent="0.25">
      <c r="C278" s="96" t="s">
        <v>257</v>
      </c>
      <c r="E278" s="184">
        <v>10705020</v>
      </c>
      <c r="F278" s="52">
        <f>+GF!F99</f>
        <v>50000</v>
      </c>
      <c r="G278" s="52">
        <f>+GF!G99</f>
        <v>0</v>
      </c>
      <c r="H278" s="52">
        <f>+GF!H99</f>
        <v>50000</v>
      </c>
      <c r="I278" s="112"/>
      <c r="J278" s="86"/>
      <c r="K278" s="77" t="str">
        <f>+GF!J99</f>
        <v>SB#1 2019</v>
      </c>
      <c r="L278" s="183"/>
      <c r="M278" s="101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</row>
    <row r="279" spans="1:26" x14ac:dyDescent="0.25">
      <c r="E279" s="184"/>
      <c r="I279" s="112"/>
      <c r="J279" s="86"/>
      <c r="L279" s="183"/>
      <c r="M279" s="101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</row>
    <row r="280" spans="1:26" x14ac:dyDescent="0.25">
      <c r="C280" s="96" t="s">
        <v>84</v>
      </c>
      <c r="E280" s="184">
        <v>10705030</v>
      </c>
      <c r="F280" s="52">
        <f>+GF!F101</f>
        <v>150000</v>
      </c>
      <c r="G280" s="52">
        <f>+GF!G101</f>
        <v>0</v>
      </c>
      <c r="H280" s="52">
        <f>+GF!H101</f>
        <v>150000</v>
      </c>
      <c r="I280" s="112"/>
      <c r="J280" s="86"/>
      <c r="K280" s="77" t="str">
        <f>+GF!J101</f>
        <v>SB#1 2019</v>
      </c>
      <c r="L280" s="183"/>
      <c r="M280" s="101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</row>
    <row r="281" spans="1:26" x14ac:dyDescent="0.25">
      <c r="E281" s="184"/>
      <c r="I281" s="112"/>
      <c r="J281" s="86"/>
      <c r="L281" s="183"/>
      <c r="M281" s="101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</row>
    <row r="282" spans="1:26" x14ac:dyDescent="0.25">
      <c r="C282" s="96" t="s">
        <v>89</v>
      </c>
      <c r="E282" s="82"/>
      <c r="I282" s="112"/>
      <c r="K282" s="87"/>
      <c r="L282" s="92"/>
      <c r="M282" s="117"/>
      <c r="N282" s="118"/>
      <c r="O282" s="118"/>
      <c r="Q282" s="52"/>
      <c r="R282" s="52"/>
      <c r="S282" s="52"/>
      <c r="T282" s="52"/>
      <c r="U282" s="52"/>
      <c r="V282" s="52"/>
      <c r="W282" s="52"/>
      <c r="X282" s="52"/>
      <c r="Y282" s="52"/>
      <c r="Z282" s="52"/>
    </row>
    <row r="283" spans="1:26" x14ac:dyDescent="0.25">
      <c r="D283" s="96" t="s">
        <v>255</v>
      </c>
      <c r="E283" s="82">
        <v>10706010</v>
      </c>
      <c r="F283" s="52">
        <f>+GF!F104</f>
        <v>30000</v>
      </c>
      <c r="G283" s="52">
        <f>+GF!G104</f>
        <v>0</v>
      </c>
      <c r="H283" s="52">
        <f>+GF!H104</f>
        <v>30000</v>
      </c>
      <c r="I283" s="112"/>
      <c r="J283" s="86" t="str">
        <f>+GF!I104</f>
        <v>AB 2019</v>
      </c>
      <c r="K283" s="87"/>
      <c r="L283" s="92"/>
      <c r="M283" s="117"/>
      <c r="N283" s="118"/>
      <c r="O283" s="118"/>
      <c r="Q283" s="52"/>
      <c r="R283" s="52"/>
      <c r="S283" s="52"/>
      <c r="T283" s="52"/>
      <c r="U283" s="52"/>
      <c r="V283" s="52"/>
      <c r="W283" s="52"/>
      <c r="X283" s="52"/>
      <c r="Y283" s="52"/>
      <c r="Z283" s="52"/>
    </row>
    <row r="284" spans="1:26" x14ac:dyDescent="0.25">
      <c r="E284" s="82"/>
      <c r="I284" s="112"/>
      <c r="J284" s="86"/>
      <c r="K284" s="87"/>
      <c r="L284" s="92"/>
      <c r="M284" s="117"/>
      <c r="N284" s="118"/>
      <c r="O284" s="118"/>
      <c r="Q284" s="52"/>
      <c r="R284" s="52"/>
      <c r="S284" s="52"/>
      <c r="T284" s="52"/>
      <c r="U284" s="52"/>
      <c r="V284" s="52"/>
      <c r="W284" s="52"/>
      <c r="X284" s="52"/>
      <c r="Y284" s="52"/>
      <c r="Z284" s="52"/>
    </row>
    <row r="285" spans="1:26" x14ac:dyDescent="0.25">
      <c r="C285" s="96" t="s">
        <v>199</v>
      </c>
      <c r="E285" s="82"/>
      <c r="I285" s="112"/>
      <c r="J285" s="86"/>
      <c r="K285" s="87"/>
      <c r="L285" s="92"/>
      <c r="M285" s="117"/>
      <c r="N285" s="118"/>
      <c r="O285" s="118"/>
      <c r="Q285" s="52"/>
      <c r="R285" s="52"/>
      <c r="S285" s="52"/>
      <c r="T285" s="52"/>
      <c r="U285" s="52"/>
      <c r="V285" s="52"/>
      <c r="W285" s="52"/>
      <c r="X285" s="52"/>
      <c r="Y285" s="52"/>
      <c r="Z285" s="52"/>
    </row>
    <row r="286" spans="1:26" x14ac:dyDescent="0.25">
      <c r="D286" s="96" t="s">
        <v>554</v>
      </c>
      <c r="E286" s="82">
        <v>10705990</v>
      </c>
      <c r="F286" s="52">
        <f>+GF!F107</f>
        <v>200000</v>
      </c>
      <c r="G286" s="52">
        <f>+GF!G107</f>
        <v>0</v>
      </c>
      <c r="H286" s="52">
        <f>+GF!H107</f>
        <v>200000</v>
      </c>
      <c r="I286" s="112"/>
      <c r="J286" s="86"/>
      <c r="K286" s="87" t="str">
        <f>+GF!J107</f>
        <v>SB#1 2019</v>
      </c>
      <c r="L286" s="92"/>
      <c r="M286" s="117"/>
      <c r="N286" s="118"/>
      <c r="O286" s="118"/>
      <c r="Q286" s="52"/>
      <c r="R286" s="52"/>
      <c r="S286" s="52"/>
      <c r="T286" s="52"/>
      <c r="U286" s="52"/>
      <c r="V286" s="52"/>
      <c r="W286" s="52"/>
      <c r="X286" s="52"/>
      <c r="Y286" s="52"/>
      <c r="Z286" s="52"/>
    </row>
    <row r="287" spans="1:26" x14ac:dyDescent="0.25">
      <c r="E287" s="82"/>
      <c r="I287" s="112"/>
      <c r="L287" s="142"/>
      <c r="M287" s="101"/>
      <c r="N287" s="52"/>
      <c r="O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</row>
    <row r="288" spans="1:26" x14ac:dyDescent="0.25">
      <c r="A288" s="108" t="s">
        <v>119</v>
      </c>
      <c r="B288" s="108" t="s">
        <v>542</v>
      </c>
      <c r="C288" s="108"/>
      <c r="D288" s="108"/>
      <c r="E288" s="81">
        <v>1016</v>
      </c>
      <c r="F288" s="109">
        <f>SUM(F289)</f>
        <v>2700000</v>
      </c>
      <c r="G288" s="109">
        <f t="shared" ref="G288:H288" si="31">SUM(G289)</f>
        <v>2700000</v>
      </c>
      <c r="H288" s="109">
        <f t="shared" si="31"/>
        <v>0</v>
      </c>
      <c r="I288" s="110"/>
      <c r="L288" s="142"/>
      <c r="M288" s="101"/>
      <c r="N288" s="52"/>
      <c r="O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</row>
    <row r="289" spans="1:26" x14ac:dyDescent="0.25">
      <c r="D289" s="96" t="s">
        <v>256</v>
      </c>
      <c r="E289" s="82">
        <v>10706010</v>
      </c>
      <c r="F289" s="52">
        <f>+GF!F110</f>
        <v>2700000</v>
      </c>
      <c r="G289" s="52">
        <f>+GF!G110</f>
        <v>2700000</v>
      </c>
      <c r="H289" s="52">
        <f>+GF!H110</f>
        <v>0</v>
      </c>
      <c r="I289" s="112"/>
      <c r="K289" s="87" t="s">
        <v>247</v>
      </c>
      <c r="L289" s="92"/>
      <c r="M289" s="117"/>
      <c r="N289" s="118"/>
      <c r="O289" s="118"/>
      <c r="Q289" s="52"/>
      <c r="R289" s="52"/>
      <c r="S289" s="52"/>
      <c r="T289" s="52"/>
      <c r="U289" s="52"/>
      <c r="V289" s="52"/>
      <c r="W289" s="52"/>
      <c r="X289" s="52"/>
      <c r="Y289" s="52"/>
      <c r="Z289" s="52"/>
    </row>
    <row r="290" spans="1:26" x14ac:dyDescent="0.25">
      <c r="E290" s="82"/>
      <c r="I290" s="112"/>
      <c r="L290" s="142"/>
      <c r="M290" s="101"/>
      <c r="N290" s="52"/>
      <c r="O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</row>
    <row r="291" spans="1:26" x14ac:dyDescent="0.25">
      <c r="A291" s="108" t="s">
        <v>119</v>
      </c>
      <c r="B291" s="108" t="s">
        <v>543</v>
      </c>
      <c r="C291" s="108"/>
      <c r="D291" s="108"/>
      <c r="E291" s="81">
        <v>1031</v>
      </c>
      <c r="F291" s="109">
        <f>SUM(F292:F296)</f>
        <v>370180</v>
      </c>
      <c r="G291" s="109">
        <f t="shared" ref="G291:H291" si="32">SUM(G292:G296)</f>
        <v>369800</v>
      </c>
      <c r="H291" s="109">
        <f t="shared" si="32"/>
        <v>380</v>
      </c>
      <c r="I291" s="110"/>
      <c r="L291" s="142"/>
      <c r="M291" s="101"/>
      <c r="N291" s="52"/>
      <c r="O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</row>
    <row r="292" spans="1:26" x14ac:dyDescent="0.25">
      <c r="C292" s="96" t="s">
        <v>257</v>
      </c>
      <c r="E292" s="82"/>
      <c r="I292" s="112"/>
      <c r="L292" s="142"/>
      <c r="M292" s="101"/>
      <c r="N292" s="52"/>
      <c r="O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</row>
    <row r="293" spans="1:26" x14ac:dyDescent="0.25">
      <c r="D293" s="96" t="s">
        <v>258</v>
      </c>
      <c r="E293" s="82">
        <v>10705020</v>
      </c>
      <c r="F293" s="52">
        <f>+GF!F114</f>
        <v>200000</v>
      </c>
      <c r="G293" s="52">
        <f>+GF!G114</f>
        <v>200000</v>
      </c>
      <c r="H293" s="52">
        <f>+GF!H114</f>
        <v>0</v>
      </c>
      <c r="I293" s="112"/>
      <c r="K293" s="87" t="s">
        <v>247</v>
      </c>
      <c r="L293" s="92"/>
      <c r="M293" s="117"/>
      <c r="N293" s="118"/>
      <c r="O293" s="118"/>
      <c r="Q293" s="52"/>
      <c r="R293" s="52"/>
      <c r="S293" s="52"/>
      <c r="T293" s="52"/>
      <c r="U293" s="52"/>
      <c r="V293" s="52"/>
      <c r="W293" s="52"/>
      <c r="X293" s="52"/>
      <c r="Y293" s="52"/>
      <c r="Z293" s="52"/>
    </row>
    <row r="294" spans="1:26" x14ac:dyDescent="0.25">
      <c r="D294" s="96" t="s">
        <v>259</v>
      </c>
      <c r="E294" s="82">
        <v>10705020</v>
      </c>
      <c r="F294" s="52">
        <f>+GF!F115</f>
        <v>170000</v>
      </c>
      <c r="G294" s="52">
        <f>+GF!G115</f>
        <v>169800</v>
      </c>
      <c r="H294" s="52">
        <f>+GF!H115</f>
        <v>200</v>
      </c>
      <c r="I294" s="112"/>
      <c r="K294" s="87" t="s">
        <v>247</v>
      </c>
      <c r="L294" s="92"/>
      <c r="M294" s="117"/>
      <c r="N294" s="118"/>
      <c r="O294" s="118"/>
      <c r="Q294" s="52"/>
      <c r="R294" s="52"/>
      <c r="S294" s="52"/>
      <c r="T294" s="52"/>
      <c r="U294" s="52"/>
      <c r="V294" s="52"/>
      <c r="W294" s="52"/>
      <c r="X294" s="52"/>
      <c r="Y294" s="52"/>
      <c r="Z294" s="52"/>
    </row>
    <row r="295" spans="1:26" x14ac:dyDescent="0.25">
      <c r="C295" s="96" t="s">
        <v>84</v>
      </c>
      <c r="E295" s="82"/>
      <c r="I295" s="112"/>
      <c r="L295" s="142"/>
      <c r="M295" s="101"/>
      <c r="N295" s="52"/>
      <c r="O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</row>
    <row r="296" spans="1:26" x14ac:dyDescent="0.25">
      <c r="D296" s="96" t="s">
        <v>260</v>
      </c>
      <c r="E296" s="82">
        <v>10705030</v>
      </c>
      <c r="F296" s="52">
        <f>+GF!F117</f>
        <v>180</v>
      </c>
      <c r="G296" s="52">
        <f>+GF!G117</f>
        <v>0</v>
      </c>
      <c r="H296" s="52">
        <f>+GF!H117</f>
        <v>180</v>
      </c>
      <c r="I296" s="112"/>
      <c r="K296" s="87" t="s">
        <v>247</v>
      </c>
      <c r="L296" s="92"/>
      <c r="M296" s="117"/>
      <c r="N296" s="118"/>
      <c r="O296" s="118"/>
      <c r="Q296" s="52"/>
      <c r="R296" s="52"/>
      <c r="S296" s="52"/>
      <c r="T296" s="52"/>
      <c r="U296" s="52"/>
      <c r="V296" s="52"/>
      <c r="W296" s="52"/>
      <c r="X296" s="52"/>
      <c r="Y296" s="52"/>
      <c r="Z296" s="52"/>
    </row>
    <row r="297" spans="1:26" ht="13.5" customHeight="1" x14ac:dyDescent="0.25"/>
    <row r="298" spans="1:26" x14ac:dyDescent="0.25">
      <c r="A298" s="108" t="s">
        <v>119</v>
      </c>
      <c r="B298" s="108" t="s">
        <v>544</v>
      </c>
      <c r="C298" s="108"/>
      <c r="E298" s="81">
        <v>1111</v>
      </c>
      <c r="F298" s="109">
        <f>SUM(F300)</f>
        <v>100</v>
      </c>
      <c r="G298" s="109">
        <f t="shared" ref="G298:H298" si="33">SUM(G300)</f>
        <v>0</v>
      </c>
      <c r="H298" s="109">
        <f t="shared" si="33"/>
        <v>100</v>
      </c>
      <c r="I298" s="112"/>
      <c r="K298" s="87"/>
      <c r="L298" s="92"/>
      <c r="M298" s="117"/>
      <c r="N298" s="118"/>
      <c r="O298" s="118"/>
      <c r="Q298" s="52"/>
      <c r="R298" s="52"/>
      <c r="S298" s="52"/>
      <c r="T298" s="52"/>
      <c r="U298" s="52"/>
      <c r="V298" s="52"/>
      <c r="W298" s="52"/>
      <c r="X298" s="52"/>
      <c r="Y298" s="52"/>
      <c r="Z298" s="52"/>
    </row>
    <row r="299" spans="1:26" x14ac:dyDescent="0.25">
      <c r="A299" s="108"/>
      <c r="B299" s="108"/>
      <c r="C299" s="96" t="s">
        <v>84</v>
      </c>
      <c r="E299" s="81"/>
      <c r="F299" s="115"/>
      <c r="G299" s="115"/>
      <c r="H299" s="115"/>
      <c r="I299" s="112"/>
      <c r="K299" s="87"/>
      <c r="L299" s="92"/>
      <c r="M299" s="117"/>
      <c r="N299" s="118"/>
      <c r="O299" s="118"/>
      <c r="Q299" s="52"/>
      <c r="R299" s="52"/>
      <c r="S299" s="52"/>
      <c r="T299" s="52"/>
      <c r="U299" s="52"/>
      <c r="V299" s="52"/>
      <c r="W299" s="52"/>
      <c r="X299" s="52"/>
      <c r="Y299" s="52"/>
      <c r="Z299" s="52"/>
    </row>
    <row r="300" spans="1:26" x14ac:dyDescent="0.25">
      <c r="D300" s="96" t="s">
        <v>261</v>
      </c>
      <c r="E300" s="82">
        <v>10705030</v>
      </c>
      <c r="F300" s="52">
        <f>+GF!F131</f>
        <v>100</v>
      </c>
      <c r="G300" s="52">
        <f>+GF!G131</f>
        <v>0</v>
      </c>
      <c r="H300" s="52">
        <f>+GF!H131</f>
        <v>100</v>
      </c>
      <c r="I300" s="112"/>
      <c r="J300" s="86" t="str">
        <f>+GF!I131</f>
        <v>AB 2019</v>
      </c>
      <c r="K300" s="87"/>
      <c r="L300" s="92"/>
      <c r="M300" s="117"/>
      <c r="N300" s="118"/>
      <c r="O300" s="118"/>
      <c r="Q300" s="52"/>
      <c r="R300" s="52"/>
      <c r="S300" s="52"/>
      <c r="T300" s="52"/>
      <c r="U300" s="52"/>
      <c r="V300" s="52"/>
      <c r="W300" s="52"/>
      <c r="X300" s="52"/>
      <c r="Y300" s="52"/>
      <c r="Z300" s="52"/>
    </row>
    <row r="302" spans="1:26" s="108" customFormat="1" x14ac:dyDescent="0.25">
      <c r="A302" s="108" t="s">
        <v>119</v>
      </c>
      <c r="B302" s="108" t="s">
        <v>536</v>
      </c>
      <c r="E302" s="81">
        <v>1918</v>
      </c>
      <c r="I302" s="110"/>
      <c r="J302" s="85"/>
      <c r="K302" s="85"/>
      <c r="L302" s="143"/>
      <c r="M302" s="111"/>
      <c r="N302" s="98"/>
      <c r="O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</row>
    <row r="303" spans="1:26" s="108" customFormat="1" x14ac:dyDescent="0.25">
      <c r="C303" s="108" t="s">
        <v>393</v>
      </c>
      <c r="E303" s="81"/>
      <c r="F303" s="109">
        <f>SUM(F305:F375)</f>
        <v>43305674.450000003</v>
      </c>
      <c r="G303" s="109">
        <f t="shared" ref="G303:H303" si="34">SUM(G305:G375)</f>
        <v>32967329.759999998</v>
      </c>
      <c r="H303" s="109">
        <f t="shared" si="34"/>
        <v>10338344.689999996</v>
      </c>
      <c r="I303" s="110"/>
      <c r="J303" s="85"/>
      <c r="K303" s="85"/>
      <c r="L303" s="143"/>
      <c r="M303" s="111"/>
      <c r="N303" s="98"/>
      <c r="O303" s="98"/>
      <c r="Q303" s="98"/>
      <c r="R303" s="98"/>
      <c r="S303" s="98"/>
      <c r="T303" s="98"/>
      <c r="U303" s="98"/>
      <c r="V303" s="98"/>
      <c r="W303" s="98"/>
      <c r="X303" s="98"/>
      <c r="Y303" s="98"/>
      <c r="Z303" s="98"/>
    </row>
    <row r="304" spans="1:26" s="108" customFormat="1" x14ac:dyDescent="0.25">
      <c r="C304" s="96" t="s">
        <v>79</v>
      </c>
      <c r="E304" s="81"/>
      <c r="F304" s="115"/>
      <c r="G304" s="115"/>
      <c r="H304" s="115"/>
      <c r="I304" s="110"/>
      <c r="J304" s="85"/>
      <c r="K304" s="85"/>
      <c r="L304" s="143"/>
      <c r="M304" s="111"/>
      <c r="N304" s="98"/>
      <c r="O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</row>
    <row r="305" spans="1:26" s="108" customFormat="1" hidden="1" x14ac:dyDescent="0.25">
      <c r="C305" s="96"/>
      <c r="D305" s="96" t="s">
        <v>587</v>
      </c>
      <c r="E305" s="152">
        <v>10701010</v>
      </c>
      <c r="F305" s="153">
        <f>+GF!F137</f>
        <v>0</v>
      </c>
      <c r="G305" s="153">
        <f>+GF!G137</f>
        <v>0</v>
      </c>
      <c r="H305" s="153">
        <f>+GF!H137</f>
        <v>0</v>
      </c>
      <c r="I305" s="153">
        <f>+GF!I137</f>
        <v>0</v>
      </c>
      <c r="J305" s="153"/>
      <c r="K305" s="154" t="str">
        <f>+GF!J137</f>
        <v>SB#3 2019</v>
      </c>
      <c r="L305" s="143"/>
      <c r="M305" s="111"/>
      <c r="N305" s="98"/>
      <c r="O305" s="98"/>
      <c r="Q305" s="98"/>
      <c r="R305" s="98"/>
      <c r="S305" s="98"/>
      <c r="T305" s="98"/>
      <c r="U305" s="98"/>
      <c r="V305" s="98"/>
      <c r="W305" s="98"/>
      <c r="X305" s="98"/>
      <c r="Y305" s="98"/>
      <c r="Z305" s="98"/>
    </row>
    <row r="306" spans="1:26" s="108" customFormat="1" x14ac:dyDescent="0.25">
      <c r="D306" s="96" t="s">
        <v>263</v>
      </c>
      <c r="E306" s="82">
        <v>10701010</v>
      </c>
      <c r="F306" s="120">
        <f>+GF!F138</f>
        <v>3000000</v>
      </c>
      <c r="G306" s="120">
        <f>+GF!G138</f>
        <v>500000</v>
      </c>
      <c r="H306" s="120">
        <f>+GF!H138</f>
        <v>2500000</v>
      </c>
      <c r="I306" s="110"/>
      <c r="J306" s="86" t="s">
        <v>250</v>
      </c>
      <c r="K306" s="85"/>
      <c r="L306" s="143"/>
      <c r="M306" s="111"/>
      <c r="N306" s="98"/>
      <c r="O306" s="98"/>
      <c r="Q306" s="98"/>
      <c r="R306" s="98"/>
      <c r="S306" s="98"/>
      <c r="T306" s="98"/>
      <c r="U306" s="98"/>
      <c r="V306" s="98"/>
      <c r="W306" s="98"/>
      <c r="X306" s="98"/>
      <c r="Y306" s="98"/>
      <c r="Z306" s="98"/>
    </row>
    <row r="307" spans="1:26" s="108" customFormat="1" x14ac:dyDescent="0.25">
      <c r="D307" s="96" t="s">
        <v>262</v>
      </c>
      <c r="E307" s="82" t="s">
        <v>0</v>
      </c>
      <c r="F307" s="115"/>
      <c r="G307" s="115"/>
      <c r="H307" s="115"/>
      <c r="I307" s="110"/>
      <c r="J307" s="85"/>
      <c r="K307" s="85"/>
      <c r="L307" s="143"/>
      <c r="M307" s="111"/>
      <c r="N307" s="98"/>
      <c r="O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</row>
    <row r="308" spans="1:26" s="108" customFormat="1" x14ac:dyDescent="0.25">
      <c r="C308" s="126" t="s">
        <v>80</v>
      </c>
      <c r="D308" s="126"/>
      <c r="E308" s="82"/>
      <c r="F308" s="115"/>
      <c r="G308" s="115"/>
      <c r="H308" s="115"/>
      <c r="I308" s="110"/>
      <c r="J308" s="85"/>
      <c r="K308" s="85"/>
      <c r="L308" s="143"/>
      <c r="M308" s="111"/>
      <c r="N308" s="98"/>
      <c r="O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</row>
    <row r="309" spans="1:26" s="108" customFormat="1" x14ac:dyDescent="0.25">
      <c r="D309" s="96" t="s">
        <v>264</v>
      </c>
      <c r="E309" s="82">
        <v>10702990</v>
      </c>
      <c r="F309" s="120">
        <f>+GF!F141</f>
        <v>1188343</v>
      </c>
      <c r="G309" s="120">
        <f>+GF!G141</f>
        <v>590421.96000000008</v>
      </c>
      <c r="H309" s="120">
        <f>+GF!H141</f>
        <v>597921.03999999992</v>
      </c>
      <c r="I309" s="110"/>
      <c r="J309" s="85"/>
      <c r="K309" s="87" t="s">
        <v>247</v>
      </c>
      <c r="L309" s="92"/>
      <c r="M309" s="117"/>
      <c r="N309" s="98"/>
      <c r="O309" s="98"/>
      <c r="Q309" s="98"/>
      <c r="R309" s="98"/>
      <c r="S309" s="98"/>
      <c r="T309" s="98"/>
      <c r="U309" s="98"/>
      <c r="V309" s="98"/>
      <c r="W309" s="98"/>
      <c r="X309" s="98"/>
      <c r="Y309" s="98"/>
      <c r="Z309" s="98"/>
    </row>
    <row r="310" spans="1:26" s="108" customFormat="1" x14ac:dyDescent="0.25">
      <c r="E310" s="81"/>
      <c r="F310" s="115"/>
      <c r="G310" s="115"/>
      <c r="H310" s="115"/>
      <c r="I310" s="110"/>
      <c r="J310" s="85"/>
      <c r="K310" s="85"/>
      <c r="L310" s="143"/>
      <c r="M310" s="111"/>
      <c r="N310" s="98"/>
      <c r="O310" s="98"/>
      <c r="Q310" s="98"/>
      <c r="R310" s="98"/>
      <c r="S310" s="98"/>
      <c r="T310" s="98"/>
      <c r="U310" s="98"/>
      <c r="V310" s="98"/>
      <c r="W310" s="98"/>
      <c r="X310" s="98"/>
      <c r="Y310" s="98"/>
      <c r="Z310" s="98"/>
    </row>
    <row r="311" spans="1:26" x14ac:dyDescent="0.25">
      <c r="A311" s="108"/>
      <c r="B311" s="108"/>
      <c r="C311" s="126" t="s">
        <v>82</v>
      </c>
      <c r="E311" s="82"/>
      <c r="F311" s="98"/>
      <c r="G311" s="98"/>
      <c r="H311" s="98"/>
      <c r="I311" s="110"/>
      <c r="L311" s="142"/>
      <c r="M311" s="101"/>
      <c r="N311" s="52"/>
      <c r="O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</row>
    <row r="312" spans="1:26" x14ac:dyDescent="0.25">
      <c r="D312" s="96" t="s">
        <v>489</v>
      </c>
      <c r="E312" s="82">
        <v>10703010</v>
      </c>
      <c r="F312" s="52">
        <f>+GF!F144</f>
        <v>1008519.3700000001</v>
      </c>
      <c r="G312" s="52">
        <f>+GF!G144</f>
        <v>628018.68000000005</v>
      </c>
      <c r="H312" s="52">
        <f>+GF!H144</f>
        <v>380500.69000000006</v>
      </c>
      <c r="I312" s="112"/>
      <c r="J312" s="88" t="str">
        <f>+GF!J144</f>
        <v>SB#1 2019 Completed 10/15/2020</v>
      </c>
      <c r="K312" s="87"/>
      <c r="L312" s="92"/>
      <c r="M312" s="117"/>
      <c r="N312" s="119"/>
      <c r="O312" s="119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</row>
    <row r="313" spans="1:26" ht="13.5" customHeight="1" x14ac:dyDescent="0.25">
      <c r="D313" s="96" t="s">
        <v>265</v>
      </c>
      <c r="E313" s="82">
        <v>10703010</v>
      </c>
      <c r="F313" s="52">
        <f>+GF!F146</f>
        <v>471826.75</v>
      </c>
      <c r="G313" s="52">
        <f>+GF!G146</f>
        <v>229673.12</v>
      </c>
      <c r="H313" s="52">
        <f>+GF!H146</f>
        <v>242153.63</v>
      </c>
      <c r="I313" s="112"/>
      <c r="J313" s="86" t="str">
        <f>+GF!I146</f>
        <v>AB 2019 Completed 02/28/2020</v>
      </c>
      <c r="K313" s="88"/>
      <c r="L313" s="92"/>
      <c r="M313" s="117"/>
      <c r="N313" s="119">
        <v>27559.5</v>
      </c>
      <c r="O313" s="119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</row>
    <row r="314" spans="1:26" ht="13.5" customHeight="1" x14ac:dyDescent="0.25">
      <c r="D314" s="96" t="s">
        <v>266</v>
      </c>
      <c r="E314" s="82">
        <v>10703010</v>
      </c>
      <c r="F314" s="52">
        <f>+GF!F147</f>
        <v>1733304.8299999998</v>
      </c>
      <c r="G314" s="52">
        <f>+GF!G147</f>
        <v>89753.07</v>
      </c>
      <c r="H314" s="52">
        <f>+GF!H147</f>
        <v>1643551.7599999998</v>
      </c>
      <c r="I314" s="112"/>
      <c r="J314" s="88"/>
      <c r="K314" s="87" t="s">
        <v>249</v>
      </c>
      <c r="L314" s="92"/>
      <c r="M314" s="117"/>
      <c r="N314" s="119"/>
      <c r="O314" s="119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</row>
    <row r="315" spans="1:26" ht="13.5" customHeight="1" x14ac:dyDescent="0.25">
      <c r="E315" s="82"/>
      <c r="I315" s="112"/>
      <c r="J315" s="88"/>
      <c r="K315" s="88"/>
      <c r="L315" s="92"/>
      <c r="M315" s="117"/>
      <c r="N315" s="119"/>
      <c r="O315" s="119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</row>
    <row r="316" spans="1:26" x14ac:dyDescent="0.25">
      <c r="C316" s="126" t="s">
        <v>242</v>
      </c>
      <c r="E316" s="82"/>
      <c r="I316" s="112"/>
      <c r="L316" s="142"/>
      <c r="M316" s="101"/>
      <c r="N316" s="52"/>
      <c r="O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</row>
    <row r="317" spans="1:26" x14ac:dyDescent="0.25">
      <c r="D317" s="96" t="s">
        <v>267</v>
      </c>
      <c r="E317" s="82">
        <v>10703040</v>
      </c>
      <c r="F317" s="52">
        <f>+GF!F151</f>
        <v>5000000</v>
      </c>
      <c r="G317" s="52">
        <f>+GF!G151</f>
        <v>5000000</v>
      </c>
      <c r="H317" s="52">
        <f>+GF!H151</f>
        <v>0</v>
      </c>
      <c r="I317" s="112"/>
      <c r="J317" s="86" t="str">
        <f>+GF!J151</f>
        <v>SB#1 2019 Completed 10/31/2020</v>
      </c>
      <c r="K317" s="87"/>
      <c r="L317" s="92"/>
      <c r="M317" s="117"/>
      <c r="N317" s="52"/>
      <c r="O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</row>
    <row r="318" spans="1:26" x14ac:dyDescent="0.25">
      <c r="D318" s="96" t="s">
        <v>268</v>
      </c>
      <c r="E318" s="82">
        <v>10703040</v>
      </c>
      <c r="F318" s="52">
        <f>+GF!F152</f>
        <v>3800000</v>
      </c>
      <c r="G318" s="52">
        <f>+GF!G152</f>
        <v>3689981.27</v>
      </c>
      <c r="H318" s="52">
        <f>+GF!H152</f>
        <v>110018.72999999998</v>
      </c>
      <c r="I318" s="112"/>
      <c r="J318" s="86" t="str">
        <f>+GF!J152</f>
        <v>SB#3 2019 Completed 10/31/2020</v>
      </c>
      <c r="K318" s="87"/>
      <c r="L318" s="92"/>
      <c r="M318" s="117"/>
      <c r="N318" s="52"/>
      <c r="O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</row>
    <row r="319" spans="1:26" x14ac:dyDescent="0.25">
      <c r="D319" s="96" t="s">
        <v>269</v>
      </c>
      <c r="E319" s="82">
        <v>10703040</v>
      </c>
      <c r="F319" s="52">
        <f>+GF!F153</f>
        <v>2948794.84</v>
      </c>
      <c r="G319" s="52">
        <f>+GF!G153</f>
        <v>2784852.46</v>
      </c>
      <c r="H319" s="52">
        <f>+GF!H153</f>
        <v>163942.37999999989</v>
      </c>
      <c r="I319" s="112"/>
      <c r="J319" s="86"/>
      <c r="K319" s="87" t="s">
        <v>249</v>
      </c>
      <c r="L319" s="92"/>
      <c r="M319" s="117"/>
      <c r="N319" s="52"/>
      <c r="O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</row>
    <row r="320" spans="1:26" x14ac:dyDescent="0.25">
      <c r="D320" s="96" t="s">
        <v>270</v>
      </c>
      <c r="E320" s="82">
        <v>10703040</v>
      </c>
      <c r="F320" s="52">
        <f>+GF!F154</f>
        <v>3000000</v>
      </c>
      <c r="G320" s="52">
        <f>+GF!G154</f>
        <v>2895157.3200000003</v>
      </c>
      <c r="H320" s="52">
        <f>+GF!H154</f>
        <v>104842.6799999997</v>
      </c>
      <c r="I320" s="112"/>
      <c r="J320" s="86"/>
      <c r="K320" s="87" t="s">
        <v>249</v>
      </c>
      <c r="L320" s="92"/>
      <c r="M320" s="117"/>
      <c r="N320" s="52"/>
      <c r="O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</row>
    <row r="321" spans="3:26" x14ac:dyDescent="0.25">
      <c r="D321" s="96" t="s">
        <v>271</v>
      </c>
      <c r="E321" s="82">
        <v>10703040</v>
      </c>
      <c r="F321" s="52">
        <f>+GF!F155</f>
        <v>3000000</v>
      </c>
      <c r="G321" s="52">
        <f>+GF!G155</f>
        <v>2863703.3000000003</v>
      </c>
      <c r="H321" s="52">
        <f>+GF!H155</f>
        <v>136296.69999999972</v>
      </c>
      <c r="I321" s="112"/>
      <c r="J321" s="86"/>
      <c r="K321" s="87" t="s">
        <v>249</v>
      </c>
      <c r="L321" s="92"/>
      <c r="M321" s="117" t="s">
        <v>493</v>
      </c>
      <c r="N321" s="52"/>
      <c r="O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</row>
    <row r="322" spans="3:26" x14ac:dyDescent="0.25">
      <c r="D322" s="96" t="s">
        <v>272</v>
      </c>
      <c r="E322" s="82">
        <v>10703040</v>
      </c>
      <c r="F322" s="52">
        <f>+GF!F156</f>
        <v>2952313.84</v>
      </c>
      <c r="G322" s="52">
        <f>+GF!G156</f>
        <v>2934488.65</v>
      </c>
      <c r="H322" s="52">
        <f>+GF!H156</f>
        <v>17825.189999999944</v>
      </c>
      <c r="I322" s="112"/>
      <c r="J322" s="86" t="s">
        <v>250</v>
      </c>
      <c r="L322" s="142"/>
      <c r="M322" s="101"/>
      <c r="N322" s="52"/>
      <c r="O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</row>
    <row r="323" spans="3:26" x14ac:dyDescent="0.25">
      <c r="D323" s="96" t="s">
        <v>273</v>
      </c>
      <c r="E323" s="82">
        <v>10703040</v>
      </c>
      <c r="F323" s="52">
        <f>+GF!F157</f>
        <v>33142.870000000003</v>
      </c>
      <c r="G323" s="52">
        <f>+GF!G157</f>
        <v>0</v>
      </c>
      <c r="H323" s="52">
        <f>+GF!H157</f>
        <v>33142.870000000003</v>
      </c>
      <c r="I323" s="112"/>
      <c r="J323" s="86" t="s">
        <v>510</v>
      </c>
      <c r="L323" s="142"/>
      <c r="M323" s="101"/>
      <c r="N323" s="52"/>
      <c r="O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</row>
    <row r="324" spans="3:26" x14ac:dyDescent="0.25">
      <c r="D324" s="128" t="s">
        <v>472</v>
      </c>
      <c r="E324" s="82">
        <v>10703040</v>
      </c>
      <c r="F324" s="52">
        <f>+GF!F158</f>
        <v>156413</v>
      </c>
      <c r="G324" s="52">
        <f>+GF!G158</f>
        <v>0</v>
      </c>
      <c r="H324" s="52">
        <f>+GF!H158</f>
        <v>156413</v>
      </c>
      <c r="I324" s="112"/>
      <c r="J324" s="88" t="s">
        <v>509</v>
      </c>
      <c r="L324" s="92"/>
      <c r="M324" s="117"/>
      <c r="N324" s="52"/>
      <c r="O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</row>
    <row r="325" spans="3:26" x14ac:dyDescent="0.25">
      <c r="D325" s="96" t="s">
        <v>398</v>
      </c>
      <c r="E325" s="82">
        <v>10703040</v>
      </c>
      <c r="F325" s="52">
        <f>+GF!F159</f>
        <v>289357.83999999997</v>
      </c>
      <c r="G325" s="52">
        <f>+GF!G159</f>
        <v>256120.4</v>
      </c>
      <c r="H325" s="52">
        <f>+GF!H159</f>
        <v>33237.439999999973</v>
      </c>
      <c r="I325" s="112"/>
      <c r="J325" s="86" t="str">
        <f>+GF!I158</f>
        <v>SB#1 2019 Completed 10/23/19</v>
      </c>
      <c r="K325" s="87"/>
      <c r="L325" s="92"/>
      <c r="M325" s="117"/>
      <c r="N325" s="52"/>
      <c r="O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</row>
    <row r="326" spans="3:26" x14ac:dyDescent="0.25">
      <c r="D326" s="96" t="s">
        <v>274</v>
      </c>
      <c r="E326" s="82">
        <v>10703040</v>
      </c>
      <c r="F326" s="52">
        <f>+GF!F160</f>
        <v>704307.06</v>
      </c>
      <c r="G326" s="52">
        <f>+GF!G160</f>
        <v>530391</v>
      </c>
      <c r="H326" s="52">
        <f>+GF!H160</f>
        <v>173916.06000000006</v>
      </c>
      <c r="I326" s="112"/>
      <c r="J326" s="86" t="s">
        <v>250</v>
      </c>
      <c r="L326" s="142"/>
      <c r="M326" s="101"/>
      <c r="N326" s="52"/>
      <c r="O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</row>
    <row r="327" spans="3:26" x14ac:dyDescent="0.25">
      <c r="D327" s="96" t="s">
        <v>399</v>
      </c>
      <c r="E327" s="82">
        <v>10703040</v>
      </c>
      <c r="F327" s="52">
        <f>+GF!F161</f>
        <v>5996</v>
      </c>
      <c r="G327" s="52">
        <f>+GF!G161</f>
        <v>0</v>
      </c>
      <c r="H327" s="52">
        <f>+GF!H161</f>
        <v>5996</v>
      </c>
      <c r="I327" s="112"/>
      <c r="J327" s="86" t="s">
        <v>250</v>
      </c>
      <c r="L327" s="142"/>
      <c r="M327" s="101"/>
      <c r="N327" s="52"/>
      <c r="O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</row>
    <row r="328" spans="3:26" x14ac:dyDescent="0.25">
      <c r="E328" s="82"/>
      <c r="I328" s="112"/>
      <c r="J328" s="86"/>
      <c r="L328" s="142"/>
      <c r="M328" s="101"/>
      <c r="N328" s="52"/>
      <c r="O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</row>
    <row r="329" spans="3:26" x14ac:dyDescent="0.25">
      <c r="C329" s="96" t="s">
        <v>81</v>
      </c>
      <c r="E329" s="82"/>
      <c r="I329" s="112"/>
      <c r="L329" s="142"/>
      <c r="M329" s="101"/>
      <c r="N329" s="52"/>
      <c r="O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</row>
    <row r="330" spans="3:26" x14ac:dyDescent="0.25">
      <c r="D330" s="96" t="s">
        <v>275</v>
      </c>
      <c r="E330" s="82">
        <v>10704010</v>
      </c>
      <c r="F330" s="52">
        <f>+GF!F165</f>
        <v>0</v>
      </c>
      <c r="G330" s="52">
        <f>+GF!G165</f>
        <v>0</v>
      </c>
      <c r="H330" s="52">
        <f>+GF!H165</f>
        <v>0</v>
      </c>
      <c r="I330" s="112"/>
      <c r="J330" s="88">
        <f>+GF!$I$151</f>
        <v>0</v>
      </c>
      <c r="L330" s="92"/>
      <c r="M330" s="117" t="s">
        <v>493</v>
      </c>
      <c r="N330" s="121"/>
      <c r="O330" s="121"/>
      <c r="Q330" s="52"/>
      <c r="R330" s="52"/>
      <c r="S330" s="52"/>
      <c r="T330" s="52"/>
      <c r="U330" s="52"/>
      <c r="V330" s="52"/>
      <c r="W330" s="52"/>
      <c r="X330" s="52"/>
      <c r="Y330" s="52"/>
      <c r="Z330" s="52"/>
    </row>
    <row r="331" spans="3:26" x14ac:dyDescent="0.25">
      <c r="D331" s="96" t="s">
        <v>282</v>
      </c>
      <c r="E331" s="82">
        <v>10704010</v>
      </c>
      <c r="F331" s="52">
        <f>+GF!F166</f>
        <v>0</v>
      </c>
      <c r="G331" s="52">
        <f>+GF!G166</f>
        <v>0</v>
      </c>
      <c r="H331" s="52">
        <f>+GF!H166</f>
        <v>0</v>
      </c>
      <c r="I331" s="112"/>
      <c r="J331" s="182" t="str">
        <f>+GF!I166</f>
        <v>Declared Savings for SB#6, 2020</v>
      </c>
      <c r="K331" s="87"/>
      <c r="L331" s="92"/>
      <c r="M331" s="117"/>
      <c r="N331" s="121"/>
      <c r="O331" s="121"/>
      <c r="Q331" s="52"/>
      <c r="R331" s="52"/>
      <c r="S331" s="52"/>
      <c r="T331" s="52"/>
      <c r="U331" s="52"/>
      <c r="V331" s="52"/>
      <c r="W331" s="52"/>
      <c r="X331" s="52"/>
      <c r="Y331" s="52"/>
      <c r="Z331" s="52"/>
    </row>
    <row r="332" spans="3:26" ht="27" x14ac:dyDescent="0.25">
      <c r="D332" s="96" t="s">
        <v>276</v>
      </c>
      <c r="E332" s="82">
        <v>10704010</v>
      </c>
      <c r="F332" s="52">
        <f>+GF!F167</f>
        <v>7454.7799999999988</v>
      </c>
      <c r="G332" s="52">
        <f>+GF!G167</f>
        <v>0</v>
      </c>
      <c r="H332" s="52">
        <f>+GF!H167</f>
        <v>7454.7799999999988</v>
      </c>
      <c r="I332" s="112"/>
      <c r="J332" s="88" t="s">
        <v>506</v>
      </c>
      <c r="L332" s="92" t="s">
        <v>588</v>
      </c>
      <c r="M332" s="117"/>
      <c r="N332" s="121"/>
      <c r="O332" s="121"/>
      <c r="Q332" s="52"/>
      <c r="R332" s="52"/>
      <c r="S332" s="52"/>
      <c r="T332" s="52"/>
      <c r="U332" s="52"/>
      <c r="V332" s="52"/>
      <c r="W332" s="52"/>
      <c r="X332" s="52"/>
      <c r="Y332" s="52"/>
      <c r="Z332" s="52"/>
    </row>
    <row r="333" spans="3:26" x14ac:dyDescent="0.25">
      <c r="D333" s="96" t="s">
        <v>277</v>
      </c>
      <c r="E333" s="82">
        <v>10704010</v>
      </c>
      <c r="F333" s="52">
        <f>+GF!F168</f>
        <v>784046</v>
      </c>
      <c r="G333" s="52">
        <f>+GF!G168</f>
        <v>564956.07000000007</v>
      </c>
      <c r="H333" s="52">
        <f>+GF!H168</f>
        <v>219089.92999999993</v>
      </c>
      <c r="I333" s="112"/>
      <c r="J333" s="90"/>
      <c r="K333" s="87" t="s">
        <v>249</v>
      </c>
      <c r="L333" s="92"/>
      <c r="M333" s="117"/>
      <c r="N333" s="121"/>
      <c r="O333" s="121"/>
      <c r="Q333" s="52"/>
      <c r="R333" s="52"/>
      <c r="S333" s="52"/>
      <c r="T333" s="52"/>
      <c r="U333" s="52"/>
      <c r="V333" s="52"/>
      <c r="W333" s="52"/>
      <c r="X333" s="52"/>
      <c r="Y333" s="52"/>
      <c r="Z333" s="52"/>
    </row>
    <row r="334" spans="3:26" ht="13.5" customHeight="1" x14ac:dyDescent="0.25">
      <c r="D334" s="96" t="s">
        <v>278</v>
      </c>
      <c r="E334" s="82">
        <v>10704010</v>
      </c>
      <c r="F334" s="52">
        <f>+GF!F169</f>
        <v>1207579.2799999998</v>
      </c>
      <c r="G334" s="52">
        <f>+GF!G169</f>
        <v>807401.34000000008</v>
      </c>
      <c r="H334" s="52">
        <f>+GF!H169</f>
        <v>400177.93999999971</v>
      </c>
      <c r="I334" s="112"/>
      <c r="J334" s="86" t="s">
        <v>250</v>
      </c>
      <c r="K334" s="90"/>
      <c r="L334" s="92"/>
      <c r="M334" s="117"/>
      <c r="N334" s="121">
        <v>8198.92</v>
      </c>
      <c r="O334" s="121"/>
      <c r="Q334" s="52"/>
      <c r="R334" s="52"/>
      <c r="S334" s="52"/>
      <c r="T334" s="52"/>
      <c r="U334" s="52"/>
      <c r="V334" s="52"/>
      <c r="W334" s="52"/>
      <c r="X334" s="52"/>
      <c r="Y334" s="52"/>
      <c r="Z334" s="52"/>
    </row>
    <row r="335" spans="3:26" ht="13.5" customHeight="1" x14ac:dyDescent="0.25">
      <c r="D335" s="96" t="s">
        <v>473</v>
      </c>
      <c r="E335" s="82">
        <v>10704010</v>
      </c>
      <c r="F335" s="52">
        <f>+GF!F170</f>
        <v>0</v>
      </c>
      <c r="G335" s="52">
        <f>+GF!G170</f>
        <v>0</v>
      </c>
      <c r="H335" s="52">
        <f>+GF!H170</f>
        <v>0</v>
      </c>
      <c r="I335" s="112"/>
      <c r="J335" s="86" t="s">
        <v>507</v>
      </c>
      <c r="K335" s="90"/>
      <c r="L335" s="92"/>
      <c r="M335" s="117"/>
      <c r="N335" s="121"/>
      <c r="O335" s="121"/>
      <c r="Q335" s="52"/>
      <c r="R335" s="52"/>
      <c r="S335" s="52"/>
      <c r="T335" s="52"/>
      <c r="U335" s="52"/>
      <c r="V335" s="52"/>
      <c r="W335" s="52"/>
      <c r="X335" s="52"/>
      <c r="Y335" s="52"/>
      <c r="Z335" s="52"/>
    </row>
    <row r="336" spans="3:26" ht="13.5" customHeight="1" x14ac:dyDescent="0.25">
      <c r="D336" s="96" t="s">
        <v>279</v>
      </c>
      <c r="E336" s="82">
        <v>10704010</v>
      </c>
      <c r="F336" s="52">
        <f>+GF!F171</f>
        <v>0</v>
      </c>
      <c r="G336" s="52">
        <f>+GF!G171</f>
        <v>0</v>
      </c>
      <c r="H336" s="52">
        <f>+GF!H171</f>
        <v>0</v>
      </c>
      <c r="I336" s="112"/>
      <c r="J336" s="88" t="s">
        <v>508</v>
      </c>
      <c r="L336" s="92"/>
      <c r="M336" s="117"/>
      <c r="N336" s="121"/>
      <c r="O336" s="121"/>
      <c r="Q336" s="52"/>
      <c r="R336" s="52"/>
      <c r="S336" s="52"/>
      <c r="T336" s="52"/>
      <c r="U336" s="52"/>
      <c r="V336" s="52"/>
      <c r="W336" s="52"/>
      <c r="X336" s="52"/>
      <c r="Y336" s="52"/>
      <c r="Z336" s="52"/>
    </row>
    <row r="337" spans="1:26" ht="13.5" customHeight="1" x14ac:dyDescent="0.25">
      <c r="D337" s="96" t="s">
        <v>280</v>
      </c>
      <c r="E337" s="82">
        <v>10704010</v>
      </c>
      <c r="F337" s="52">
        <f>+GF!F172</f>
        <v>142799.12999999989</v>
      </c>
      <c r="G337" s="52">
        <f>+GF!G172</f>
        <v>0</v>
      </c>
      <c r="H337" s="52">
        <f>+GF!H172</f>
        <v>142799.12999999989</v>
      </c>
      <c r="I337" s="112"/>
      <c r="J337" s="86" t="str">
        <f>+GF!I172</f>
        <v>AB 2019 Completed 02/22/20</v>
      </c>
      <c r="K337" s="90"/>
      <c r="L337" s="92"/>
      <c r="M337" s="117"/>
      <c r="N337" s="121"/>
      <c r="O337" s="121"/>
      <c r="Q337" s="52"/>
      <c r="R337" s="52"/>
      <c r="S337" s="52"/>
      <c r="T337" s="52"/>
      <c r="U337" s="52"/>
      <c r="V337" s="52"/>
      <c r="W337" s="52"/>
      <c r="X337" s="52"/>
      <c r="Y337" s="52"/>
      <c r="Z337" s="52"/>
    </row>
    <row r="338" spans="1:26" ht="13.5" customHeight="1" x14ac:dyDescent="0.25">
      <c r="D338" s="96" t="s">
        <v>281</v>
      </c>
      <c r="E338" s="82">
        <v>10704010</v>
      </c>
      <c r="F338" s="52">
        <f>+GF!F173</f>
        <v>196530.25999999978</v>
      </c>
      <c r="G338" s="52">
        <f>+GF!G173</f>
        <v>0</v>
      </c>
      <c r="H338" s="52">
        <f>+GF!H173</f>
        <v>196530.25999999978</v>
      </c>
      <c r="I338" s="112"/>
      <c r="J338" s="86" t="str">
        <f>+GF!I173</f>
        <v>AB 2019 Completed 02/08/20</v>
      </c>
      <c r="K338" s="90"/>
      <c r="L338" s="92"/>
      <c r="M338" s="117"/>
      <c r="N338" s="121"/>
      <c r="O338" s="121"/>
      <c r="Q338" s="52"/>
      <c r="R338" s="52"/>
      <c r="S338" s="52"/>
      <c r="T338" s="52"/>
      <c r="U338" s="52"/>
      <c r="V338" s="52"/>
      <c r="W338" s="52"/>
      <c r="X338" s="52"/>
      <c r="Y338" s="52"/>
      <c r="Z338" s="52"/>
    </row>
    <row r="339" spans="1:26" ht="13.5" customHeight="1" x14ac:dyDescent="0.25">
      <c r="D339" s="96" t="s">
        <v>286</v>
      </c>
      <c r="E339" s="82">
        <v>10704010</v>
      </c>
      <c r="F339" s="52">
        <f>+GF!F175</f>
        <v>249112.55000000005</v>
      </c>
      <c r="G339" s="52">
        <f>+GF!G175</f>
        <v>216385.09000000003</v>
      </c>
      <c r="H339" s="52">
        <f>+GF!H175</f>
        <v>32727.460000000021</v>
      </c>
      <c r="I339" s="112"/>
      <c r="J339" s="90"/>
      <c r="K339" s="87" t="s">
        <v>249</v>
      </c>
      <c r="L339" s="92"/>
      <c r="M339" s="117"/>
      <c r="N339" s="121"/>
      <c r="O339" s="121"/>
      <c r="Q339" s="52"/>
      <c r="R339" s="52"/>
      <c r="S339" s="52"/>
      <c r="T339" s="52"/>
      <c r="U339" s="52"/>
      <c r="V339" s="52"/>
      <c r="W339" s="52"/>
      <c r="X339" s="52"/>
      <c r="Y339" s="52"/>
      <c r="Z339" s="52"/>
    </row>
    <row r="340" spans="1:26" ht="13.5" customHeight="1" x14ac:dyDescent="0.25">
      <c r="D340" s="96" t="s">
        <v>408</v>
      </c>
      <c r="E340" s="82">
        <v>10704010</v>
      </c>
      <c r="F340" s="52">
        <f>+GF!F176</f>
        <v>600000</v>
      </c>
      <c r="G340" s="52">
        <f>+GF!G176</f>
        <v>0</v>
      </c>
      <c r="H340" s="52">
        <f>+GF!H176</f>
        <v>600000</v>
      </c>
      <c r="I340" s="112"/>
      <c r="K340" s="87" t="s">
        <v>247</v>
      </c>
      <c r="L340" s="92"/>
      <c r="M340" s="117"/>
      <c r="N340" s="121"/>
      <c r="O340" s="121"/>
      <c r="Q340" s="52"/>
      <c r="R340" s="52"/>
      <c r="S340" s="52"/>
      <c r="T340" s="52"/>
      <c r="U340" s="52"/>
      <c r="V340" s="52"/>
      <c r="W340" s="52"/>
      <c r="X340" s="52"/>
      <c r="Y340" s="52"/>
      <c r="Z340" s="52"/>
    </row>
    <row r="341" spans="1:26" ht="13.5" customHeight="1" x14ac:dyDescent="0.25">
      <c r="D341" s="126" t="s">
        <v>598</v>
      </c>
      <c r="E341" s="156">
        <v>10704010</v>
      </c>
      <c r="F341" s="52">
        <f>+GF!F177</f>
        <v>600000</v>
      </c>
      <c r="G341" s="52">
        <f>+GF!G177</f>
        <v>0</v>
      </c>
      <c r="H341" s="52">
        <f>+GF!H177</f>
        <v>600000</v>
      </c>
      <c r="I341" s="112"/>
      <c r="K341" s="87" t="s">
        <v>247</v>
      </c>
      <c r="L341" s="92"/>
      <c r="M341" s="117"/>
      <c r="N341" s="121"/>
      <c r="O341" s="121"/>
      <c r="Q341" s="52"/>
      <c r="R341" s="52"/>
      <c r="S341" s="52"/>
      <c r="T341" s="52"/>
      <c r="U341" s="52"/>
      <c r="V341" s="52"/>
      <c r="W341" s="52"/>
      <c r="X341" s="52"/>
      <c r="Y341" s="52"/>
      <c r="Z341" s="52"/>
    </row>
    <row r="342" spans="1:26" ht="13.5" customHeight="1" x14ac:dyDescent="0.25">
      <c r="D342" s="96" t="s">
        <v>490</v>
      </c>
      <c r="E342" s="82">
        <v>10704010</v>
      </c>
      <c r="F342" s="52">
        <f>+GF!F178</f>
        <v>37259.14</v>
      </c>
      <c r="G342" s="52">
        <f>+GF!G178</f>
        <v>0</v>
      </c>
      <c r="H342" s="52">
        <f>+GF!H178</f>
        <v>37259.14</v>
      </c>
      <c r="I342" s="112"/>
      <c r="J342" s="88" t="s">
        <v>512</v>
      </c>
      <c r="L342" s="92"/>
      <c r="M342" s="117"/>
      <c r="N342" s="121"/>
      <c r="O342" s="121"/>
      <c r="Q342" s="52"/>
      <c r="R342" s="52"/>
      <c r="S342" s="52"/>
      <c r="T342" s="52"/>
      <c r="U342" s="52"/>
      <c r="V342" s="52"/>
      <c r="W342" s="52"/>
      <c r="X342" s="52"/>
      <c r="Y342" s="52"/>
      <c r="Z342" s="52"/>
    </row>
    <row r="343" spans="1:26" ht="13.5" customHeight="1" x14ac:dyDescent="0.25">
      <c r="D343" s="96" t="s">
        <v>491</v>
      </c>
      <c r="E343" s="82">
        <v>10704010</v>
      </c>
      <c r="F343" s="52">
        <f>+GF!F179</f>
        <v>1078785</v>
      </c>
      <c r="G343" s="52">
        <f>+GF!G179</f>
        <v>719350.64</v>
      </c>
      <c r="H343" s="52">
        <f>+GF!H179</f>
        <v>359434.36</v>
      </c>
      <c r="I343" s="112"/>
      <c r="J343" s="90"/>
      <c r="K343" s="87" t="s">
        <v>249</v>
      </c>
      <c r="L343" s="92"/>
      <c r="M343" s="117"/>
      <c r="N343" s="121"/>
      <c r="O343" s="121"/>
      <c r="Q343" s="52"/>
      <c r="R343" s="52"/>
      <c r="S343" s="52"/>
      <c r="T343" s="52"/>
      <c r="U343" s="52"/>
      <c r="V343" s="52"/>
      <c r="W343" s="52"/>
      <c r="X343" s="52"/>
      <c r="Y343" s="52"/>
      <c r="Z343" s="52"/>
    </row>
    <row r="344" spans="1:26" ht="13.5" customHeight="1" x14ac:dyDescent="0.25">
      <c r="D344" s="96" t="s">
        <v>283</v>
      </c>
      <c r="E344" s="82">
        <v>10704010</v>
      </c>
      <c r="F344" s="52">
        <f>+GF!F180</f>
        <v>2988100.8</v>
      </c>
      <c r="G344" s="52">
        <f>+GF!G180</f>
        <v>2969536.39</v>
      </c>
      <c r="H344" s="52">
        <f>+GF!H180</f>
        <v>18564.409999999683</v>
      </c>
      <c r="I344" s="112"/>
      <c r="J344" s="86" t="s">
        <v>250</v>
      </c>
      <c r="K344" s="90"/>
      <c r="L344" s="92"/>
      <c r="M344" s="117"/>
      <c r="N344" s="121">
        <v>31532.880000000001</v>
      </c>
      <c r="O344" s="121"/>
      <c r="Q344" s="52"/>
      <c r="R344" s="52"/>
      <c r="S344" s="52"/>
      <c r="T344" s="52"/>
      <c r="U344" s="52"/>
      <c r="V344" s="52"/>
      <c r="W344" s="52"/>
      <c r="X344" s="52"/>
      <c r="Y344" s="52"/>
      <c r="Z344" s="52"/>
    </row>
    <row r="345" spans="1:26" ht="13.5" customHeight="1" x14ac:dyDescent="0.25">
      <c r="D345" s="96" t="s">
        <v>474</v>
      </c>
      <c r="E345" s="82">
        <v>10704010</v>
      </c>
      <c r="F345" s="52">
        <f>+GF!F181</f>
        <v>865467</v>
      </c>
      <c r="G345" s="52">
        <f>+GF!G181</f>
        <v>684539.42</v>
      </c>
      <c r="H345" s="52">
        <f>+GF!H181</f>
        <v>180927.57999999996</v>
      </c>
      <c r="I345" s="112"/>
      <c r="J345" s="86"/>
      <c r="K345" s="87" t="s">
        <v>249</v>
      </c>
      <c r="L345" s="92"/>
      <c r="M345" s="117"/>
      <c r="N345" s="121"/>
      <c r="O345" s="121"/>
      <c r="Q345" s="52"/>
      <c r="R345" s="52"/>
      <c r="S345" s="52"/>
      <c r="T345" s="52"/>
      <c r="U345" s="52"/>
      <c r="V345" s="52"/>
      <c r="W345" s="52"/>
      <c r="X345" s="52"/>
      <c r="Y345" s="52"/>
      <c r="Z345" s="52"/>
    </row>
    <row r="346" spans="1:26" ht="13.5" customHeight="1" x14ac:dyDescent="0.25">
      <c r="D346" s="96" t="s">
        <v>409</v>
      </c>
      <c r="E346" s="82">
        <v>10704010</v>
      </c>
      <c r="F346" s="52">
        <f>+GF!F186</f>
        <v>3000000</v>
      </c>
      <c r="G346" s="52">
        <f>+GF!G186</f>
        <v>2837561.47</v>
      </c>
      <c r="H346" s="52">
        <f>+GF!H186</f>
        <v>162438.5299999998</v>
      </c>
      <c r="I346" s="112"/>
      <c r="J346" s="90"/>
      <c r="K346" s="87" t="s">
        <v>249</v>
      </c>
      <c r="L346" s="92"/>
      <c r="M346" s="117"/>
      <c r="N346" s="121"/>
      <c r="O346" s="121"/>
      <c r="Q346" s="52"/>
      <c r="R346" s="52"/>
      <c r="S346" s="52"/>
      <c r="T346" s="52"/>
      <c r="U346" s="52"/>
      <c r="V346" s="52"/>
      <c r="W346" s="52"/>
      <c r="X346" s="52"/>
      <c r="Y346" s="52"/>
      <c r="Z346" s="52"/>
    </row>
    <row r="347" spans="1:26" ht="13.5" customHeight="1" x14ac:dyDescent="0.25">
      <c r="D347" s="96" t="s">
        <v>285</v>
      </c>
      <c r="E347" s="82" t="s">
        <v>0</v>
      </c>
      <c r="I347" s="112"/>
      <c r="J347" s="90"/>
      <c r="K347" s="90"/>
      <c r="L347" s="92"/>
      <c r="M347" s="117"/>
      <c r="N347" s="121"/>
      <c r="O347" s="121"/>
      <c r="Q347" s="52"/>
      <c r="R347" s="52"/>
      <c r="S347" s="52"/>
      <c r="T347" s="52"/>
      <c r="U347" s="52"/>
      <c r="V347" s="52"/>
      <c r="W347" s="52"/>
      <c r="X347" s="52"/>
      <c r="Y347" s="52"/>
      <c r="Z347" s="52"/>
    </row>
    <row r="348" spans="1:26" ht="13.5" customHeight="1" x14ac:dyDescent="0.25">
      <c r="C348" s="96" t="s">
        <v>287</v>
      </c>
      <c r="E348" s="82"/>
      <c r="I348" s="112"/>
      <c r="J348" s="90"/>
      <c r="K348" s="90"/>
      <c r="L348" s="92"/>
      <c r="M348" s="117"/>
      <c r="N348" s="121"/>
      <c r="O348" s="121"/>
      <c r="Q348" s="52"/>
      <c r="R348" s="52"/>
      <c r="S348" s="52"/>
      <c r="T348" s="52"/>
      <c r="U348" s="52"/>
      <c r="V348" s="52"/>
      <c r="W348" s="52"/>
      <c r="X348" s="52"/>
      <c r="Y348" s="52"/>
      <c r="Z348" s="52"/>
    </row>
    <row r="349" spans="1:26" ht="13.5" customHeight="1" x14ac:dyDescent="0.25">
      <c r="D349" s="96" t="s">
        <v>288</v>
      </c>
      <c r="E349" s="82">
        <v>10704030</v>
      </c>
      <c r="F349" s="52">
        <f>+GF!F189</f>
        <v>41416.540000000037</v>
      </c>
      <c r="G349" s="52">
        <f>+GF!G189</f>
        <v>0</v>
      </c>
      <c r="H349" s="52">
        <f>+GF!H189</f>
        <v>41416.540000000037</v>
      </c>
      <c r="I349" s="112"/>
      <c r="J349" s="88" t="s">
        <v>503</v>
      </c>
      <c r="L349" s="92"/>
      <c r="M349" s="117"/>
      <c r="N349" s="121"/>
      <c r="O349" s="121"/>
      <c r="Q349" s="52"/>
      <c r="R349" s="52"/>
      <c r="S349" s="52"/>
      <c r="T349" s="52"/>
      <c r="U349" s="52"/>
      <c r="V349" s="52"/>
      <c r="W349" s="52"/>
      <c r="X349" s="52"/>
      <c r="Y349" s="52"/>
      <c r="Z349" s="52"/>
    </row>
    <row r="350" spans="1:26" x14ac:dyDescent="0.25">
      <c r="E350" s="82"/>
      <c r="I350" s="112"/>
      <c r="L350" s="142"/>
      <c r="M350" s="101"/>
      <c r="N350" s="52"/>
      <c r="O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</row>
    <row r="351" spans="1:26" x14ac:dyDescent="0.25">
      <c r="C351" s="96" t="s">
        <v>83</v>
      </c>
      <c r="E351" s="82"/>
      <c r="I351" s="112"/>
      <c r="L351" s="142"/>
      <c r="M351" s="101"/>
      <c r="N351" s="52"/>
      <c r="O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</row>
    <row r="352" spans="1:26" ht="13.5" customHeight="1" x14ac:dyDescent="0.25">
      <c r="A352" s="126"/>
      <c r="B352" s="126"/>
      <c r="C352" s="126"/>
      <c r="D352" s="126" t="s">
        <v>293</v>
      </c>
      <c r="E352" s="82">
        <v>10704990</v>
      </c>
      <c r="F352" s="52">
        <f>+GF!F193</f>
        <v>72540.900000000023</v>
      </c>
      <c r="G352" s="52">
        <f>+GF!G193</f>
        <v>12401.5</v>
      </c>
      <c r="H352" s="52">
        <f>+GF!H193</f>
        <v>60139.400000000023</v>
      </c>
      <c r="I352" s="112"/>
      <c r="J352" s="86" t="s">
        <v>502</v>
      </c>
      <c r="K352" s="87"/>
      <c r="L352" s="92"/>
      <c r="M352" s="117"/>
      <c r="N352" s="118"/>
      <c r="O352" s="118"/>
      <c r="Q352" s="52"/>
      <c r="R352" s="52"/>
      <c r="S352" s="52"/>
      <c r="T352" s="52"/>
      <c r="U352" s="52"/>
      <c r="V352" s="52"/>
      <c r="W352" s="52"/>
      <c r="X352" s="52"/>
      <c r="Y352" s="52"/>
      <c r="Z352" s="52"/>
    </row>
    <row r="353" spans="1:26" x14ac:dyDescent="0.25">
      <c r="A353" s="126"/>
      <c r="B353" s="126"/>
      <c r="C353" s="126"/>
      <c r="D353" s="126" t="s">
        <v>290</v>
      </c>
      <c r="E353" s="82">
        <v>10704990</v>
      </c>
      <c r="F353" s="52">
        <f>+GF!F194</f>
        <v>388896.62999999989</v>
      </c>
      <c r="G353" s="52">
        <f>+GF!G194</f>
        <v>346315.89000000007</v>
      </c>
      <c r="H353" s="52">
        <f>+GF!H194</f>
        <v>42580.739999999816</v>
      </c>
      <c r="I353" s="112"/>
      <c r="J353" s="86" t="s">
        <v>250</v>
      </c>
      <c r="K353" s="87"/>
      <c r="L353" s="92"/>
      <c r="M353" s="117"/>
      <c r="N353" s="118">
        <v>5423.16</v>
      </c>
      <c r="O353" s="118"/>
      <c r="Q353" s="52"/>
      <c r="R353" s="52"/>
      <c r="S353" s="52"/>
      <c r="T353" s="52"/>
      <c r="U353" s="52"/>
      <c r="V353" s="52"/>
      <c r="W353" s="52"/>
      <c r="X353" s="52"/>
      <c r="Y353" s="52"/>
      <c r="Z353" s="52"/>
    </row>
    <row r="354" spans="1:26" ht="13.5" customHeight="1" x14ac:dyDescent="0.25">
      <c r="A354" s="126"/>
      <c r="B354" s="126"/>
      <c r="C354" s="126"/>
      <c r="D354" s="126" t="s">
        <v>430</v>
      </c>
      <c r="E354" s="82">
        <v>10704990</v>
      </c>
      <c r="F354" s="52">
        <f>+GF!F198</f>
        <v>267272.54000000004</v>
      </c>
      <c r="G354" s="52">
        <f>+GF!G198</f>
        <v>214417.1</v>
      </c>
      <c r="H354" s="52">
        <f>+GF!H198</f>
        <v>52855.440000000031</v>
      </c>
      <c r="I354" s="112"/>
      <c r="J354" s="86" t="s">
        <v>250</v>
      </c>
      <c r="K354" s="87"/>
      <c r="L354" s="92"/>
      <c r="M354" s="117"/>
      <c r="N354" s="118">
        <v>10367.25</v>
      </c>
      <c r="O354" s="118"/>
      <c r="Q354" s="52"/>
      <c r="R354" s="52"/>
      <c r="S354" s="52"/>
      <c r="T354" s="52"/>
      <c r="U354" s="52"/>
      <c r="V354" s="52"/>
      <c r="W354" s="52"/>
      <c r="X354" s="52"/>
      <c r="Y354" s="52"/>
      <c r="Z354" s="52"/>
    </row>
    <row r="355" spans="1:26" ht="13.5" customHeight="1" x14ac:dyDescent="0.25">
      <c r="A355" s="126"/>
      <c r="B355" s="126"/>
      <c r="C355" s="126"/>
      <c r="D355" s="126" t="s">
        <v>291</v>
      </c>
      <c r="E355" s="82">
        <v>10704990</v>
      </c>
      <c r="F355" s="52">
        <f>+GF!F199</f>
        <v>415244.5</v>
      </c>
      <c r="G355" s="52">
        <f>+GF!G199</f>
        <v>200968.41</v>
      </c>
      <c r="H355" s="52">
        <f>+GF!H199</f>
        <v>214276.09</v>
      </c>
      <c r="I355" s="112"/>
      <c r="J355" s="77" t="str">
        <f>+GF!I199</f>
        <v>SB#1 2019 Completed 03/25/20</v>
      </c>
      <c r="K355" s="87"/>
      <c r="L355" s="92"/>
      <c r="M355" s="117"/>
      <c r="N355" s="118">
        <v>5238</v>
      </c>
      <c r="O355" s="118"/>
      <c r="Q355" s="52"/>
      <c r="R355" s="52"/>
      <c r="S355" s="52"/>
      <c r="T355" s="52"/>
      <c r="U355" s="52"/>
      <c r="V355" s="52"/>
      <c r="W355" s="52"/>
      <c r="X355" s="52"/>
      <c r="Y355" s="52"/>
      <c r="Z355" s="52"/>
    </row>
    <row r="356" spans="1:26" x14ac:dyDescent="0.25">
      <c r="A356" s="126"/>
      <c r="B356" s="126"/>
      <c r="C356" s="126"/>
      <c r="D356" s="126" t="s">
        <v>292</v>
      </c>
      <c r="E356" s="82">
        <v>10704990</v>
      </c>
      <c r="F356" s="52">
        <f>+GF!F210</f>
        <v>757010</v>
      </c>
      <c r="G356" s="52">
        <f>+GF!G210</f>
        <v>243803.5</v>
      </c>
      <c r="H356" s="52">
        <f>+GF!H210</f>
        <v>513206.5</v>
      </c>
      <c r="I356" s="112"/>
      <c r="J356" s="86" t="s">
        <v>250</v>
      </c>
      <c r="K356" s="87"/>
      <c r="L356" s="92"/>
      <c r="M356" s="117"/>
      <c r="N356" s="118"/>
      <c r="O356" s="118"/>
      <c r="Q356" s="52"/>
      <c r="R356" s="52"/>
      <c r="S356" s="52"/>
      <c r="T356" s="52"/>
      <c r="U356" s="52"/>
      <c r="V356" s="52"/>
      <c r="W356" s="52"/>
      <c r="X356" s="52"/>
      <c r="Y356" s="52"/>
      <c r="Z356" s="52"/>
    </row>
    <row r="357" spans="1:26" x14ac:dyDescent="0.25">
      <c r="A357" s="126"/>
      <c r="B357" s="126"/>
      <c r="C357" s="126"/>
      <c r="D357" s="126"/>
      <c r="E357" s="82"/>
      <c r="I357" s="112"/>
      <c r="K357" s="87"/>
      <c r="L357" s="92"/>
      <c r="M357" s="117"/>
      <c r="N357" s="118"/>
      <c r="O357" s="118"/>
      <c r="Q357" s="52"/>
      <c r="R357" s="52"/>
      <c r="S357" s="52"/>
      <c r="T357" s="52"/>
      <c r="U357" s="52"/>
      <c r="V357" s="52"/>
      <c r="W357" s="52"/>
      <c r="X357" s="52"/>
      <c r="Y357" s="52"/>
      <c r="Z357" s="52"/>
    </row>
    <row r="358" spans="1:26" x14ac:dyDescent="0.25">
      <c r="A358" s="126"/>
      <c r="B358" s="126"/>
      <c r="C358" s="126" t="s">
        <v>117</v>
      </c>
      <c r="D358" s="126"/>
      <c r="E358" s="82"/>
      <c r="I358" s="112"/>
      <c r="K358" s="87"/>
      <c r="L358" s="92"/>
      <c r="M358" s="117"/>
      <c r="N358" s="118"/>
      <c r="O358" s="118"/>
      <c r="Q358" s="52"/>
      <c r="R358" s="52"/>
      <c r="S358" s="52"/>
      <c r="T358" s="52"/>
      <c r="U358" s="52"/>
      <c r="V358" s="52"/>
      <c r="W358" s="52"/>
      <c r="X358" s="52"/>
      <c r="Y358" s="52"/>
      <c r="Z358" s="52"/>
    </row>
    <row r="359" spans="1:26" x14ac:dyDescent="0.25">
      <c r="A359" s="126"/>
      <c r="B359" s="126"/>
      <c r="C359" s="126" t="s">
        <v>296</v>
      </c>
      <c r="D359" s="126"/>
      <c r="E359" s="82"/>
      <c r="I359" s="112"/>
      <c r="K359" s="87"/>
      <c r="L359" s="92"/>
      <c r="M359" s="117"/>
      <c r="N359" s="118"/>
      <c r="O359" s="118"/>
      <c r="Q359" s="52"/>
      <c r="R359" s="52"/>
      <c r="S359" s="52"/>
      <c r="T359" s="52"/>
      <c r="U359" s="52"/>
      <c r="V359" s="52"/>
      <c r="W359" s="52"/>
      <c r="X359" s="52"/>
      <c r="Y359" s="52"/>
      <c r="Z359" s="52"/>
    </row>
    <row r="360" spans="1:26" x14ac:dyDescent="0.25">
      <c r="A360" s="126"/>
      <c r="B360" s="126"/>
      <c r="C360" s="126"/>
      <c r="D360" s="126" t="s">
        <v>294</v>
      </c>
      <c r="E360" s="82">
        <v>10799990</v>
      </c>
      <c r="F360" s="52">
        <f>+GF!F220</f>
        <v>19615</v>
      </c>
      <c r="G360" s="52">
        <f>+GF!G220</f>
        <v>15056</v>
      </c>
      <c r="H360" s="52">
        <f>+GF!H220</f>
        <v>4559</v>
      </c>
      <c r="I360" s="112"/>
      <c r="K360" s="87" t="s">
        <v>247</v>
      </c>
      <c r="L360" s="92"/>
      <c r="M360" s="117"/>
      <c r="N360" s="118"/>
      <c r="O360" s="118"/>
      <c r="Q360" s="52"/>
      <c r="R360" s="52"/>
      <c r="S360" s="52"/>
      <c r="T360" s="52"/>
      <c r="U360" s="52"/>
      <c r="V360" s="52"/>
      <c r="W360" s="52"/>
      <c r="X360" s="52"/>
      <c r="Y360" s="52"/>
      <c r="Z360" s="52"/>
    </row>
    <row r="361" spans="1:26" x14ac:dyDescent="0.25">
      <c r="A361" s="126"/>
      <c r="B361" s="126"/>
      <c r="C361" s="126"/>
      <c r="D361" s="126" t="s">
        <v>295</v>
      </c>
      <c r="E361" s="82">
        <v>10799990</v>
      </c>
      <c r="F361" s="52">
        <f>+GF!F221</f>
        <v>19615</v>
      </c>
      <c r="G361" s="52">
        <f>+GF!G221</f>
        <v>15056</v>
      </c>
      <c r="H361" s="52">
        <f>+GF!H221</f>
        <v>4559</v>
      </c>
      <c r="I361" s="112"/>
      <c r="K361" s="87" t="s">
        <v>247</v>
      </c>
      <c r="L361" s="92"/>
      <c r="M361" s="117"/>
      <c r="N361" s="118"/>
      <c r="O361" s="118"/>
      <c r="Q361" s="52"/>
      <c r="R361" s="52"/>
      <c r="S361" s="52"/>
      <c r="T361" s="52"/>
      <c r="U361" s="52"/>
      <c r="V361" s="52"/>
      <c r="W361" s="52"/>
      <c r="X361" s="52"/>
      <c r="Y361" s="52"/>
      <c r="Z361" s="52"/>
    </row>
    <row r="362" spans="1:26" x14ac:dyDescent="0.25">
      <c r="A362" s="126"/>
      <c r="B362" s="126"/>
      <c r="C362" s="126"/>
      <c r="D362" s="126" t="s">
        <v>297</v>
      </c>
      <c r="E362" s="82">
        <v>10799990</v>
      </c>
      <c r="F362" s="52">
        <f>+GF!F222</f>
        <v>19615</v>
      </c>
      <c r="G362" s="52">
        <f>+GF!G222</f>
        <v>0</v>
      </c>
      <c r="H362" s="52">
        <f>+GF!H222</f>
        <v>19615</v>
      </c>
      <c r="I362" s="112"/>
      <c r="K362" s="87" t="s">
        <v>247</v>
      </c>
      <c r="L362" s="92"/>
      <c r="M362" s="117"/>
      <c r="N362" s="118"/>
      <c r="O362" s="118"/>
      <c r="Q362" s="52"/>
      <c r="R362" s="52"/>
      <c r="S362" s="52"/>
      <c r="T362" s="52"/>
      <c r="U362" s="52"/>
      <c r="V362" s="52"/>
      <c r="W362" s="52"/>
      <c r="X362" s="52"/>
      <c r="Y362" s="52"/>
      <c r="Z362" s="52"/>
    </row>
    <row r="363" spans="1:26" x14ac:dyDescent="0.25">
      <c r="A363" s="126"/>
      <c r="B363" s="126"/>
      <c r="C363" s="126"/>
      <c r="D363" s="126" t="s">
        <v>298</v>
      </c>
      <c r="E363" s="82">
        <v>10799990</v>
      </c>
      <c r="F363" s="52">
        <f>+GF!F223</f>
        <v>19615</v>
      </c>
      <c r="G363" s="52">
        <f>+GF!G223</f>
        <v>15056</v>
      </c>
      <c r="H363" s="52">
        <f>+GF!H223</f>
        <v>4559</v>
      </c>
      <c r="I363" s="112"/>
      <c r="K363" s="87" t="s">
        <v>247</v>
      </c>
      <c r="L363" s="92"/>
      <c r="M363" s="117"/>
      <c r="N363" s="118"/>
      <c r="O363" s="118"/>
      <c r="Q363" s="52"/>
      <c r="R363" s="52"/>
      <c r="S363" s="52"/>
      <c r="T363" s="52"/>
      <c r="U363" s="52"/>
      <c r="V363" s="52"/>
      <c r="W363" s="52"/>
      <c r="X363" s="52"/>
      <c r="Y363" s="52"/>
      <c r="Z363" s="52"/>
    </row>
    <row r="364" spans="1:26" x14ac:dyDescent="0.25">
      <c r="A364" s="126"/>
      <c r="B364" s="126"/>
      <c r="C364" s="126"/>
      <c r="D364" s="126" t="s">
        <v>299</v>
      </c>
      <c r="E364" s="82">
        <v>10799990</v>
      </c>
      <c r="F364" s="52">
        <f>+GF!F224</f>
        <v>19615</v>
      </c>
      <c r="G364" s="52">
        <f>+GF!G224</f>
        <v>15056</v>
      </c>
      <c r="H364" s="52">
        <f>+GF!H224</f>
        <v>4559</v>
      </c>
      <c r="I364" s="112"/>
      <c r="K364" s="87" t="s">
        <v>247</v>
      </c>
      <c r="L364" s="92"/>
      <c r="M364" s="117"/>
      <c r="N364" s="118"/>
      <c r="O364" s="118"/>
      <c r="Q364" s="52"/>
      <c r="R364" s="52"/>
      <c r="S364" s="52"/>
      <c r="T364" s="52"/>
      <c r="U364" s="52"/>
      <c r="V364" s="52"/>
      <c r="W364" s="52"/>
      <c r="X364" s="52"/>
      <c r="Y364" s="52"/>
      <c r="Z364" s="52"/>
    </row>
    <row r="365" spans="1:26" x14ac:dyDescent="0.25">
      <c r="A365" s="126"/>
      <c r="B365" s="126"/>
      <c r="C365" s="126"/>
      <c r="D365" s="126" t="s">
        <v>300</v>
      </c>
      <c r="E365" s="82">
        <v>10799990</v>
      </c>
      <c r="F365" s="52">
        <f>+GF!F225</f>
        <v>19615</v>
      </c>
      <c r="G365" s="52">
        <f>+GF!G225</f>
        <v>15056</v>
      </c>
      <c r="H365" s="52">
        <f>+GF!H225</f>
        <v>4559</v>
      </c>
      <c r="I365" s="112"/>
      <c r="K365" s="87" t="s">
        <v>247</v>
      </c>
      <c r="L365" s="92"/>
      <c r="M365" s="117"/>
      <c r="N365" s="118"/>
      <c r="O365" s="118"/>
      <c r="Q365" s="52"/>
      <c r="R365" s="52"/>
      <c r="S365" s="52"/>
      <c r="T365" s="52"/>
      <c r="U365" s="52"/>
      <c r="V365" s="52"/>
      <c r="W365" s="52"/>
      <c r="X365" s="52"/>
      <c r="Y365" s="52"/>
      <c r="Z365" s="52"/>
    </row>
    <row r="366" spans="1:26" x14ac:dyDescent="0.25">
      <c r="A366" s="126"/>
      <c r="B366" s="126"/>
      <c r="C366" s="126"/>
      <c r="D366" s="126" t="s">
        <v>301</v>
      </c>
      <c r="E366" s="82">
        <v>10799990</v>
      </c>
      <c r="F366" s="52">
        <f>+GF!F226</f>
        <v>19615</v>
      </c>
      <c r="G366" s="52">
        <f>+GF!G226</f>
        <v>15056</v>
      </c>
      <c r="H366" s="52">
        <f>+GF!H226</f>
        <v>4559</v>
      </c>
      <c r="I366" s="112"/>
      <c r="K366" s="87" t="s">
        <v>247</v>
      </c>
      <c r="L366" s="92"/>
      <c r="M366" s="117"/>
      <c r="N366" s="118"/>
      <c r="O366" s="118"/>
      <c r="Q366" s="52"/>
      <c r="R366" s="52"/>
      <c r="S366" s="52"/>
      <c r="T366" s="52"/>
      <c r="U366" s="52"/>
      <c r="V366" s="52"/>
      <c r="W366" s="52"/>
      <c r="X366" s="52"/>
      <c r="Y366" s="52"/>
      <c r="Z366" s="52"/>
    </row>
    <row r="367" spans="1:26" x14ac:dyDescent="0.25">
      <c r="A367" s="126"/>
      <c r="B367" s="126"/>
      <c r="C367" s="126"/>
      <c r="D367" s="126" t="s">
        <v>302</v>
      </c>
      <c r="E367" s="82">
        <v>10799990</v>
      </c>
      <c r="F367" s="52">
        <f>+GF!F227</f>
        <v>19615</v>
      </c>
      <c r="G367" s="52">
        <f>+GF!G227</f>
        <v>0</v>
      </c>
      <c r="H367" s="52">
        <f>+GF!H227</f>
        <v>19615</v>
      </c>
      <c r="I367" s="112"/>
      <c r="K367" s="87" t="s">
        <v>247</v>
      </c>
      <c r="L367" s="92"/>
      <c r="M367" s="117"/>
      <c r="N367" s="118"/>
      <c r="O367" s="118"/>
      <c r="Q367" s="52"/>
      <c r="R367" s="52"/>
      <c r="S367" s="52"/>
      <c r="T367" s="52"/>
      <c r="U367" s="52"/>
      <c r="V367" s="52"/>
      <c r="W367" s="52"/>
      <c r="X367" s="52"/>
      <c r="Y367" s="52"/>
      <c r="Z367" s="52"/>
    </row>
    <row r="368" spans="1:26" x14ac:dyDescent="0.25">
      <c r="A368" s="126"/>
      <c r="B368" s="126"/>
      <c r="C368" s="126"/>
      <c r="D368" s="126" t="s">
        <v>303</v>
      </c>
      <c r="E368" s="82">
        <v>10799990</v>
      </c>
      <c r="F368" s="52">
        <f>+GF!F228</f>
        <v>19615</v>
      </c>
      <c r="G368" s="52">
        <f>+GF!G228</f>
        <v>14291.18</v>
      </c>
      <c r="H368" s="52">
        <f>+GF!H228</f>
        <v>5323.82</v>
      </c>
      <c r="I368" s="112"/>
      <c r="K368" s="87" t="s">
        <v>247</v>
      </c>
      <c r="L368" s="92"/>
      <c r="M368" s="117"/>
      <c r="N368" s="118"/>
      <c r="O368" s="118"/>
      <c r="Q368" s="52"/>
      <c r="R368" s="52"/>
      <c r="S368" s="52"/>
      <c r="T368" s="52"/>
      <c r="U368" s="52"/>
      <c r="V368" s="52"/>
      <c r="W368" s="52"/>
      <c r="X368" s="52"/>
      <c r="Y368" s="52"/>
      <c r="Z368" s="52"/>
    </row>
    <row r="369" spans="1:26" x14ac:dyDescent="0.25">
      <c r="A369" s="126"/>
      <c r="B369" s="126"/>
      <c r="C369" s="126"/>
      <c r="D369" s="126" t="s">
        <v>304</v>
      </c>
      <c r="E369" s="82">
        <v>10799990</v>
      </c>
      <c r="F369" s="52">
        <f>+GF!F229</f>
        <v>19615</v>
      </c>
      <c r="G369" s="52">
        <f>+GF!G229</f>
        <v>4168.88</v>
      </c>
      <c r="H369" s="52">
        <f>+GF!H229</f>
        <v>15446.119999999999</v>
      </c>
      <c r="I369" s="112"/>
      <c r="K369" s="87" t="s">
        <v>247</v>
      </c>
      <c r="L369" s="92"/>
      <c r="M369" s="117"/>
      <c r="N369" s="118"/>
      <c r="O369" s="118"/>
      <c r="Q369" s="52"/>
      <c r="R369" s="52"/>
      <c r="S369" s="52"/>
      <c r="T369" s="52"/>
      <c r="U369" s="52"/>
      <c r="V369" s="52"/>
      <c r="W369" s="52"/>
      <c r="X369" s="52"/>
      <c r="Y369" s="52"/>
      <c r="Z369" s="52"/>
    </row>
    <row r="370" spans="1:26" x14ac:dyDescent="0.25">
      <c r="A370" s="126"/>
      <c r="B370" s="126"/>
      <c r="C370" s="126"/>
      <c r="D370" s="126" t="s">
        <v>305</v>
      </c>
      <c r="E370" s="82">
        <v>10799990</v>
      </c>
      <c r="F370" s="52">
        <f>+GF!F230</f>
        <v>19615</v>
      </c>
      <c r="G370" s="52">
        <f>+GF!G230</f>
        <v>15056</v>
      </c>
      <c r="H370" s="52">
        <f>+GF!H230</f>
        <v>4559</v>
      </c>
      <c r="I370" s="112"/>
      <c r="K370" s="87" t="s">
        <v>247</v>
      </c>
      <c r="L370" s="92"/>
      <c r="M370" s="117"/>
      <c r="N370" s="118"/>
      <c r="O370" s="118"/>
      <c r="Q370" s="52"/>
      <c r="R370" s="52"/>
      <c r="S370" s="52"/>
      <c r="T370" s="52"/>
      <c r="U370" s="52"/>
      <c r="V370" s="52"/>
      <c r="W370" s="52"/>
      <c r="X370" s="52"/>
      <c r="Y370" s="52"/>
      <c r="Z370" s="52"/>
    </row>
    <row r="371" spans="1:26" x14ac:dyDescent="0.25">
      <c r="A371" s="126"/>
      <c r="B371" s="126"/>
      <c r="C371" s="126"/>
      <c r="D371" s="126" t="s">
        <v>306</v>
      </c>
      <c r="E371" s="82">
        <v>10799990</v>
      </c>
      <c r="F371" s="52">
        <f>+GF!F231</f>
        <v>19615</v>
      </c>
      <c r="G371" s="52">
        <f>+GF!G231</f>
        <v>15056</v>
      </c>
      <c r="H371" s="52">
        <f>+GF!H231</f>
        <v>4559</v>
      </c>
      <c r="I371" s="112"/>
      <c r="K371" s="87" t="s">
        <v>247</v>
      </c>
      <c r="L371" s="92"/>
      <c r="M371" s="117"/>
      <c r="N371" s="118"/>
      <c r="O371" s="118"/>
      <c r="Q371" s="52"/>
      <c r="R371" s="52"/>
      <c r="S371" s="52"/>
      <c r="T371" s="52"/>
      <c r="U371" s="52"/>
      <c r="V371" s="52"/>
      <c r="W371" s="52"/>
      <c r="X371" s="52"/>
      <c r="Y371" s="52"/>
      <c r="Z371" s="52"/>
    </row>
    <row r="372" spans="1:26" x14ac:dyDescent="0.25">
      <c r="A372" s="126"/>
      <c r="B372" s="126"/>
      <c r="C372" s="126"/>
      <c r="D372" s="126" t="s">
        <v>307</v>
      </c>
      <c r="E372" s="82">
        <v>10799990</v>
      </c>
      <c r="F372" s="52">
        <f>+GF!F232</f>
        <v>19615</v>
      </c>
      <c r="G372" s="52">
        <f>+GF!G232</f>
        <v>0</v>
      </c>
      <c r="H372" s="52">
        <f>+GF!H232</f>
        <v>19615</v>
      </c>
      <c r="I372" s="112"/>
      <c r="K372" s="87" t="s">
        <v>247</v>
      </c>
      <c r="L372" s="92"/>
      <c r="M372" s="117"/>
      <c r="N372" s="118"/>
      <c r="O372" s="118"/>
      <c r="Q372" s="52"/>
      <c r="R372" s="52"/>
      <c r="S372" s="52"/>
      <c r="T372" s="52"/>
      <c r="U372" s="52"/>
      <c r="V372" s="52"/>
      <c r="W372" s="52"/>
      <c r="X372" s="52"/>
      <c r="Y372" s="52"/>
      <c r="Z372" s="52"/>
    </row>
    <row r="373" spans="1:26" x14ac:dyDescent="0.25">
      <c r="A373" s="126"/>
      <c r="B373" s="126"/>
      <c r="C373" s="126"/>
      <c r="D373" s="126" t="s">
        <v>308</v>
      </c>
      <c r="E373" s="82">
        <v>10799990</v>
      </c>
      <c r="F373" s="52">
        <f>+GF!F233</f>
        <v>19615</v>
      </c>
      <c r="G373" s="52">
        <f>+GF!G233</f>
        <v>3167.65</v>
      </c>
      <c r="H373" s="52">
        <f>+GF!H233</f>
        <v>16447.349999999999</v>
      </c>
      <c r="I373" s="112"/>
      <c r="K373" s="87" t="s">
        <v>247</v>
      </c>
      <c r="L373" s="92"/>
      <c r="M373" s="117"/>
      <c r="N373" s="118"/>
      <c r="O373" s="118"/>
      <c r="Q373" s="52"/>
      <c r="R373" s="52"/>
      <c r="S373" s="52"/>
      <c r="T373" s="52"/>
      <c r="U373" s="52"/>
      <c r="V373" s="52"/>
      <c r="W373" s="52"/>
      <c r="X373" s="52"/>
      <c r="Y373" s="52"/>
      <c r="Z373" s="52"/>
    </row>
    <row r="374" spans="1:26" x14ac:dyDescent="0.25">
      <c r="A374" s="126"/>
      <c r="B374" s="126"/>
      <c r="C374" s="126"/>
      <c r="D374" s="126" t="s">
        <v>309</v>
      </c>
      <c r="E374" s="82">
        <v>10799990</v>
      </c>
      <c r="F374" s="52">
        <f>+GF!F234</f>
        <v>19615</v>
      </c>
      <c r="G374" s="52">
        <f>+GF!G234</f>
        <v>0</v>
      </c>
      <c r="H374" s="52">
        <f>+GF!H234</f>
        <v>19615</v>
      </c>
      <c r="I374" s="112"/>
      <c r="K374" s="87" t="s">
        <v>247</v>
      </c>
      <c r="L374" s="92"/>
      <c r="M374" s="117"/>
      <c r="N374" s="118"/>
      <c r="O374" s="118"/>
      <c r="Q374" s="52"/>
      <c r="R374" s="52"/>
      <c r="S374" s="52"/>
      <c r="T374" s="52"/>
      <c r="U374" s="52"/>
      <c r="V374" s="52"/>
      <c r="W374" s="52"/>
      <c r="X374" s="52"/>
      <c r="Y374" s="52"/>
      <c r="Z374" s="52"/>
    </row>
    <row r="375" spans="1:26" x14ac:dyDescent="0.25">
      <c r="A375" s="126"/>
      <c r="B375" s="126"/>
      <c r="C375" s="126"/>
      <c r="D375" s="126" t="s">
        <v>310</v>
      </c>
      <c r="E375" s="82">
        <v>10799990</v>
      </c>
      <c r="F375" s="52">
        <f>+GF!F235</f>
        <v>19615</v>
      </c>
      <c r="G375" s="52">
        <f>+GF!G235</f>
        <v>15056</v>
      </c>
      <c r="H375" s="52">
        <f>+GF!H235</f>
        <v>4559</v>
      </c>
      <c r="I375" s="112"/>
      <c r="K375" s="87" t="s">
        <v>247</v>
      </c>
      <c r="L375" s="92"/>
      <c r="M375" s="117"/>
      <c r="N375" s="118"/>
      <c r="O375" s="118"/>
      <c r="Q375" s="52"/>
      <c r="R375" s="52"/>
      <c r="S375" s="52"/>
      <c r="T375" s="52"/>
      <c r="U375" s="52"/>
      <c r="V375" s="52"/>
      <c r="W375" s="52"/>
      <c r="X375" s="52"/>
      <c r="Y375" s="52"/>
      <c r="Z375" s="52"/>
    </row>
    <row r="376" spans="1:26" x14ac:dyDescent="0.25">
      <c r="A376" s="126"/>
      <c r="B376" s="126"/>
      <c r="C376" s="126"/>
      <c r="D376" s="126"/>
      <c r="E376" s="82"/>
      <c r="I376" s="112"/>
      <c r="K376" s="87"/>
      <c r="L376" s="92"/>
      <c r="M376" s="117"/>
      <c r="N376" s="118"/>
      <c r="O376" s="118"/>
      <c r="Q376" s="52"/>
      <c r="R376" s="52"/>
      <c r="S376" s="52"/>
      <c r="T376" s="52"/>
      <c r="U376" s="52"/>
      <c r="V376" s="52"/>
      <c r="W376" s="52"/>
      <c r="X376" s="52"/>
      <c r="Y376" s="52"/>
      <c r="Z376" s="52"/>
    </row>
    <row r="377" spans="1:26" x14ac:dyDescent="0.25">
      <c r="A377" s="108" t="s">
        <v>123</v>
      </c>
      <c r="E377" s="82"/>
      <c r="F377" s="109">
        <f>+F379+F390+F394</f>
        <v>2142350</v>
      </c>
      <c r="G377" s="109">
        <f t="shared" ref="G377:H377" si="35">+G379+G390+G394</f>
        <v>1057795</v>
      </c>
      <c r="H377" s="109">
        <f t="shared" si="35"/>
        <v>1084555</v>
      </c>
      <c r="I377" s="112"/>
    </row>
    <row r="379" spans="1:26" x14ac:dyDescent="0.25">
      <c r="B379" s="108" t="s">
        <v>545</v>
      </c>
      <c r="E379" s="81" t="s">
        <v>311</v>
      </c>
      <c r="F379" s="109">
        <f>SUM(F381:F388)</f>
        <v>937000</v>
      </c>
      <c r="G379" s="109">
        <f t="shared" ref="G379:H379" si="36">SUM(G381:G388)</f>
        <v>307840</v>
      </c>
      <c r="H379" s="109">
        <f t="shared" si="36"/>
        <v>629160</v>
      </c>
      <c r="I379" s="112"/>
      <c r="L379" s="142"/>
      <c r="M379" s="101"/>
      <c r="N379" s="52"/>
      <c r="O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</row>
    <row r="380" spans="1:26" x14ac:dyDescent="0.25">
      <c r="B380" s="108"/>
      <c r="C380" s="96" t="s">
        <v>312</v>
      </c>
      <c r="E380" s="81"/>
      <c r="F380" s="115"/>
      <c r="G380" s="115"/>
      <c r="H380" s="115"/>
      <c r="I380" s="112"/>
      <c r="L380" s="142"/>
      <c r="M380" s="101"/>
      <c r="N380" s="52"/>
      <c r="O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</row>
    <row r="381" spans="1:26" x14ac:dyDescent="0.25">
      <c r="D381" s="96" t="s">
        <v>313</v>
      </c>
      <c r="E381" s="82">
        <v>10703990</v>
      </c>
      <c r="F381" s="52">
        <f>+GF!F247</f>
        <v>500000</v>
      </c>
      <c r="G381" s="52">
        <f>+GF!G247</f>
        <v>0</v>
      </c>
      <c r="H381" s="52">
        <f>+GF!H247</f>
        <v>500000</v>
      </c>
      <c r="I381" s="112"/>
      <c r="J381" s="77" t="s">
        <v>250</v>
      </c>
      <c r="L381" s="142"/>
      <c r="M381" s="101"/>
      <c r="N381" s="52"/>
      <c r="O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</row>
    <row r="382" spans="1:26" x14ac:dyDescent="0.25">
      <c r="C382" s="96" t="s">
        <v>257</v>
      </c>
      <c r="E382" s="82"/>
      <c r="I382" s="112"/>
      <c r="L382" s="142"/>
      <c r="M382" s="101"/>
      <c r="N382" s="52"/>
      <c r="O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</row>
    <row r="383" spans="1:26" x14ac:dyDescent="0.25">
      <c r="D383" s="96" t="s">
        <v>314</v>
      </c>
      <c r="E383" s="82">
        <v>10705020</v>
      </c>
      <c r="F383" s="52">
        <f>+GF!F249</f>
        <v>25000</v>
      </c>
      <c r="G383" s="52">
        <f>+GF!G249</f>
        <v>0</v>
      </c>
      <c r="H383" s="52">
        <f>+GF!H249</f>
        <v>25000</v>
      </c>
      <c r="I383" s="112"/>
      <c r="J383" s="77" t="s">
        <v>250</v>
      </c>
      <c r="L383" s="142"/>
      <c r="M383" s="101"/>
      <c r="N383" s="52"/>
      <c r="O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</row>
    <row r="384" spans="1:26" x14ac:dyDescent="0.25">
      <c r="D384" s="96" t="s">
        <v>315</v>
      </c>
      <c r="E384" s="82">
        <v>10705020</v>
      </c>
      <c r="F384" s="52">
        <f>+GF!F250</f>
        <v>17000</v>
      </c>
      <c r="G384" s="52">
        <f>+GF!G250</f>
        <v>0</v>
      </c>
      <c r="H384" s="52">
        <f>+GF!H250</f>
        <v>17000</v>
      </c>
      <c r="I384" s="112"/>
      <c r="J384" s="77" t="s">
        <v>250</v>
      </c>
      <c r="L384" s="142"/>
      <c r="M384" s="101"/>
      <c r="N384" s="52"/>
      <c r="O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</row>
    <row r="385" spans="2:26" x14ac:dyDescent="0.25">
      <c r="C385" s="96" t="s">
        <v>84</v>
      </c>
      <c r="E385" s="82"/>
      <c r="I385" s="112"/>
      <c r="L385" s="142"/>
      <c r="M385" s="101"/>
      <c r="N385" s="52"/>
      <c r="O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</row>
    <row r="386" spans="2:26" x14ac:dyDescent="0.25">
      <c r="D386" s="96" t="s">
        <v>317</v>
      </c>
      <c r="E386" s="82">
        <v>10705030</v>
      </c>
      <c r="F386" s="52">
        <f>+GF!F252</f>
        <v>150000</v>
      </c>
      <c r="G386" s="52">
        <f>+GF!G252</f>
        <v>149950</v>
      </c>
      <c r="H386" s="52">
        <f>+GF!H252</f>
        <v>50</v>
      </c>
      <c r="I386" s="112"/>
      <c r="J386" s="77" t="s">
        <v>250</v>
      </c>
      <c r="L386" s="142"/>
      <c r="M386" s="101"/>
      <c r="N386" s="52"/>
      <c r="O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</row>
    <row r="387" spans="2:26" x14ac:dyDescent="0.25">
      <c r="D387" s="96" t="s">
        <v>318</v>
      </c>
      <c r="E387" s="82">
        <v>10705030</v>
      </c>
      <c r="F387" s="52">
        <f>+GF!F253</f>
        <v>105000</v>
      </c>
      <c r="G387" s="52">
        <f>+GF!G253</f>
        <v>75900</v>
      </c>
      <c r="H387" s="52">
        <f>+GF!H253</f>
        <v>29100</v>
      </c>
      <c r="I387" s="112"/>
      <c r="J387" s="77" t="s">
        <v>250</v>
      </c>
      <c r="L387" s="142"/>
      <c r="M387" s="101"/>
      <c r="N387" s="52"/>
      <c r="O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</row>
    <row r="388" spans="2:26" x14ac:dyDescent="0.25">
      <c r="D388" s="96" t="s">
        <v>499</v>
      </c>
      <c r="E388" s="82">
        <v>10705030</v>
      </c>
      <c r="F388" s="52">
        <f>+GF!F254</f>
        <v>140000</v>
      </c>
      <c r="G388" s="52">
        <f>+GF!G254</f>
        <v>81990</v>
      </c>
      <c r="H388" s="52">
        <f>+GF!H254</f>
        <v>58010</v>
      </c>
      <c r="I388" s="112"/>
      <c r="J388" s="77" t="s">
        <v>250</v>
      </c>
      <c r="L388" s="142"/>
      <c r="M388" s="101"/>
      <c r="N388" s="52"/>
      <c r="O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</row>
    <row r="389" spans="2:26" x14ac:dyDescent="0.25">
      <c r="E389" s="82"/>
      <c r="I389" s="112"/>
      <c r="L389" s="142"/>
      <c r="M389" s="101"/>
      <c r="N389" s="52"/>
      <c r="O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</row>
    <row r="390" spans="2:26" x14ac:dyDescent="0.25">
      <c r="B390" s="108" t="s">
        <v>546</v>
      </c>
      <c r="E390" s="81" t="s">
        <v>319</v>
      </c>
      <c r="F390" s="109">
        <f>+F392</f>
        <v>400000</v>
      </c>
      <c r="G390" s="109">
        <f t="shared" ref="G390:H390" si="37">+G392</f>
        <v>149995</v>
      </c>
      <c r="H390" s="109">
        <f t="shared" si="37"/>
        <v>250005</v>
      </c>
      <c r="I390" s="112"/>
      <c r="L390" s="142"/>
      <c r="M390" s="101"/>
      <c r="N390" s="52"/>
      <c r="O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</row>
    <row r="391" spans="2:26" x14ac:dyDescent="0.25">
      <c r="C391" s="96" t="s">
        <v>320</v>
      </c>
      <c r="E391" s="82"/>
      <c r="I391" s="112"/>
      <c r="L391" s="142"/>
      <c r="M391" s="101"/>
      <c r="N391" s="52"/>
      <c r="O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</row>
    <row r="392" spans="2:26" x14ac:dyDescent="0.25">
      <c r="D392" s="96" t="s">
        <v>321</v>
      </c>
      <c r="E392" s="82">
        <v>10705110</v>
      </c>
      <c r="F392" s="52">
        <f>+GF!F258</f>
        <v>400000</v>
      </c>
      <c r="G392" s="52">
        <f>+GF!G258</f>
        <v>149995</v>
      </c>
      <c r="H392" s="52">
        <f>+GF!H258</f>
        <v>250005</v>
      </c>
      <c r="I392" s="112"/>
      <c r="J392" s="77" t="s">
        <v>250</v>
      </c>
      <c r="L392" s="142"/>
      <c r="M392" s="101"/>
      <c r="N392" s="52"/>
      <c r="O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</row>
    <row r="393" spans="2:26" x14ac:dyDescent="0.25">
      <c r="E393" s="82"/>
      <c r="I393" s="112"/>
      <c r="K393" s="87"/>
      <c r="L393" s="92"/>
      <c r="M393" s="117"/>
      <c r="N393" s="118"/>
      <c r="O393" s="118"/>
      <c r="Q393" s="52"/>
      <c r="R393" s="52"/>
      <c r="S393" s="52"/>
      <c r="T393" s="52"/>
      <c r="U393" s="52"/>
      <c r="V393" s="52"/>
      <c r="W393" s="52"/>
      <c r="X393" s="52"/>
      <c r="Y393" s="52"/>
      <c r="Z393" s="52"/>
    </row>
    <row r="394" spans="2:26" x14ac:dyDescent="0.25">
      <c r="B394" s="108" t="s">
        <v>547</v>
      </c>
      <c r="E394" s="81" t="s">
        <v>125</v>
      </c>
      <c r="F394" s="109">
        <f>SUM(F396:F400)</f>
        <v>805350</v>
      </c>
      <c r="G394" s="109">
        <f t="shared" ref="G394:H394" si="38">SUM(G396:G400)</f>
        <v>599960</v>
      </c>
      <c r="H394" s="109">
        <f t="shared" si="38"/>
        <v>205390</v>
      </c>
      <c r="I394" s="112"/>
      <c r="L394" s="142"/>
      <c r="M394" s="101"/>
      <c r="N394" s="52"/>
      <c r="O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</row>
    <row r="395" spans="2:26" x14ac:dyDescent="0.25">
      <c r="B395" s="108"/>
      <c r="C395" s="96" t="s">
        <v>257</v>
      </c>
      <c r="E395" s="81"/>
      <c r="F395" s="115"/>
      <c r="G395" s="115"/>
      <c r="H395" s="115"/>
      <c r="I395" s="112"/>
      <c r="L395" s="142"/>
      <c r="M395" s="101"/>
      <c r="N395" s="52"/>
      <c r="O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</row>
    <row r="396" spans="2:26" x14ac:dyDescent="0.25">
      <c r="D396" s="96" t="s">
        <v>324</v>
      </c>
      <c r="E396" s="82">
        <v>10705020</v>
      </c>
      <c r="F396" s="52">
        <f>+GF!F265</f>
        <v>105000</v>
      </c>
      <c r="G396" s="52">
        <f>+GF!G265</f>
        <v>0</v>
      </c>
      <c r="H396" s="52">
        <f>+GF!H265</f>
        <v>105000</v>
      </c>
      <c r="I396" s="112"/>
      <c r="J396" s="77" t="s">
        <v>250</v>
      </c>
      <c r="K396" s="87"/>
      <c r="L396" s="92"/>
      <c r="M396" s="117"/>
      <c r="N396" s="118"/>
      <c r="O396" s="118"/>
      <c r="Q396" s="52"/>
      <c r="R396" s="52"/>
      <c r="S396" s="52"/>
      <c r="T396" s="52"/>
      <c r="U396" s="52"/>
      <c r="V396" s="52"/>
      <c r="W396" s="52"/>
      <c r="X396" s="52"/>
      <c r="Y396" s="52"/>
      <c r="Z396" s="52"/>
    </row>
    <row r="397" spans="2:26" x14ac:dyDescent="0.25">
      <c r="C397" s="96" t="s">
        <v>316</v>
      </c>
      <c r="E397" s="82"/>
      <c r="I397" s="112"/>
      <c r="K397" s="87"/>
      <c r="L397" s="92"/>
      <c r="M397" s="117"/>
      <c r="N397" s="118"/>
      <c r="O397" s="118"/>
      <c r="Q397" s="52"/>
      <c r="R397" s="52"/>
      <c r="S397" s="52"/>
      <c r="T397" s="52"/>
      <c r="U397" s="52"/>
      <c r="V397" s="52"/>
      <c r="W397" s="52"/>
      <c r="X397" s="52"/>
      <c r="Y397" s="52"/>
      <c r="Z397" s="52"/>
    </row>
    <row r="398" spans="2:26" x14ac:dyDescent="0.25">
      <c r="D398" s="96" t="s">
        <v>323</v>
      </c>
      <c r="E398" s="82">
        <v>10705030</v>
      </c>
      <c r="F398" s="52">
        <f>+GF!F267</f>
        <v>350</v>
      </c>
      <c r="G398" s="52">
        <f>+GF!G267</f>
        <v>0</v>
      </c>
      <c r="H398" s="52">
        <f>+GF!H267</f>
        <v>350</v>
      </c>
      <c r="I398" s="112"/>
      <c r="J398" s="77" t="s">
        <v>250</v>
      </c>
      <c r="K398" s="87"/>
      <c r="L398" s="92"/>
      <c r="M398" s="117"/>
      <c r="N398" s="118"/>
      <c r="O398" s="118"/>
      <c r="Q398" s="52"/>
      <c r="R398" s="52"/>
      <c r="S398" s="52"/>
      <c r="T398" s="52"/>
      <c r="U398" s="52"/>
      <c r="V398" s="52"/>
      <c r="W398" s="52"/>
      <c r="X398" s="52"/>
      <c r="Y398" s="52"/>
      <c r="Z398" s="52"/>
    </row>
    <row r="399" spans="2:26" x14ac:dyDescent="0.25">
      <c r="C399" s="96" t="s">
        <v>320</v>
      </c>
      <c r="E399" s="82"/>
      <c r="I399" s="112"/>
      <c r="K399" s="87"/>
      <c r="L399" s="92"/>
      <c r="M399" s="117"/>
      <c r="N399" s="118"/>
      <c r="O399" s="118"/>
      <c r="Q399" s="52"/>
      <c r="R399" s="52"/>
      <c r="S399" s="52"/>
      <c r="T399" s="52"/>
      <c r="U399" s="52"/>
      <c r="V399" s="52"/>
      <c r="W399" s="52"/>
      <c r="X399" s="52"/>
      <c r="Y399" s="52"/>
      <c r="Z399" s="52"/>
    </row>
    <row r="400" spans="2:26" x14ac:dyDescent="0.25">
      <c r="D400" s="96" t="s">
        <v>322</v>
      </c>
      <c r="E400" s="82">
        <v>10705110</v>
      </c>
      <c r="F400" s="52">
        <f>+GF!F269</f>
        <v>700000</v>
      </c>
      <c r="G400" s="52">
        <f>+GF!G269</f>
        <v>599960</v>
      </c>
      <c r="H400" s="52">
        <f>+GF!H269</f>
        <v>100040</v>
      </c>
      <c r="I400" s="112"/>
      <c r="J400" s="77" t="s">
        <v>250</v>
      </c>
      <c r="K400" s="87"/>
      <c r="L400" s="92"/>
      <c r="M400" s="117"/>
      <c r="N400" s="118"/>
      <c r="O400" s="118"/>
      <c r="Q400" s="52"/>
      <c r="R400" s="52"/>
      <c r="S400" s="52"/>
      <c r="T400" s="52"/>
      <c r="U400" s="52"/>
      <c r="V400" s="52"/>
      <c r="W400" s="52"/>
      <c r="X400" s="52"/>
      <c r="Y400" s="52"/>
      <c r="Z400" s="52"/>
    </row>
    <row r="401" spans="1:26" x14ac:dyDescent="0.25">
      <c r="E401" s="82"/>
      <c r="I401" s="112"/>
      <c r="K401" s="87"/>
      <c r="L401" s="92"/>
      <c r="M401" s="117"/>
      <c r="N401" s="118"/>
      <c r="O401" s="118"/>
      <c r="Q401" s="52"/>
      <c r="R401" s="52"/>
      <c r="S401" s="52"/>
      <c r="T401" s="52"/>
      <c r="U401" s="52"/>
      <c r="V401" s="52"/>
      <c r="W401" s="52"/>
      <c r="X401" s="52"/>
      <c r="Y401" s="52"/>
      <c r="Z401" s="52"/>
    </row>
    <row r="403" spans="1:26" s="108" customFormat="1" x14ac:dyDescent="0.25">
      <c r="A403" s="108" t="s">
        <v>31</v>
      </c>
      <c r="E403" s="81" t="s">
        <v>0</v>
      </c>
      <c r="F403" s="109">
        <f>+F405</f>
        <v>0</v>
      </c>
      <c r="G403" s="109">
        <f t="shared" ref="G403:H403" si="39">+G405</f>
        <v>0</v>
      </c>
      <c r="H403" s="109">
        <f t="shared" si="39"/>
        <v>0</v>
      </c>
      <c r="I403" s="110"/>
      <c r="J403" s="85"/>
      <c r="K403" s="85"/>
      <c r="L403" s="150"/>
    </row>
    <row r="405" spans="1:26" x14ac:dyDescent="0.25">
      <c r="A405" s="108" t="s">
        <v>121</v>
      </c>
      <c r="B405" s="108" t="s">
        <v>540</v>
      </c>
      <c r="C405" s="108"/>
      <c r="D405" s="108"/>
      <c r="E405" s="81">
        <v>8917</v>
      </c>
      <c r="F405" s="109">
        <f>SUM(F407:F409)</f>
        <v>0</v>
      </c>
      <c r="G405" s="109">
        <f t="shared" ref="G405:H405" si="40">SUM(G407:G409)</f>
        <v>0</v>
      </c>
      <c r="H405" s="109">
        <f t="shared" si="40"/>
        <v>0</v>
      </c>
      <c r="I405" s="110"/>
      <c r="L405" s="142"/>
      <c r="M405" s="101"/>
      <c r="N405" s="52"/>
      <c r="O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</row>
    <row r="406" spans="1:26" x14ac:dyDescent="0.25">
      <c r="A406" s="108"/>
      <c r="B406" s="108"/>
      <c r="C406" s="126" t="s">
        <v>142</v>
      </c>
      <c r="D406" s="108"/>
      <c r="E406" s="82"/>
      <c r="F406" s="115"/>
      <c r="G406" s="115"/>
      <c r="H406" s="115"/>
      <c r="I406" s="110"/>
      <c r="K406" s="77" t="s">
        <v>148</v>
      </c>
      <c r="L406" s="142"/>
      <c r="M406" s="101"/>
      <c r="N406" s="52"/>
      <c r="O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</row>
    <row r="407" spans="1:26" x14ac:dyDescent="0.25">
      <c r="D407" s="96" t="s">
        <v>327</v>
      </c>
      <c r="E407" s="82">
        <v>10703010</v>
      </c>
      <c r="F407" s="52">
        <f>+GF!F289</f>
        <v>0</v>
      </c>
      <c r="G407" s="52">
        <f>+GF!G289</f>
        <v>0</v>
      </c>
      <c r="H407" s="52">
        <f>+GF!H289</f>
        <v>0</v>
      </c>
      <c r="I407" s="112"/>
      <c r="J407" s="86" t="s">
        <v>250</v>
      </c>
      <c r="L407" s="142"/>
      <c r="M407" s="101"/>
      <c r="N407" s="52"/>
      <c r="O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</row>
    <row r="408" spans="1:26" x14ac:dyDescent="0.25">
      <c r="D408" s="96" t="s">
        <v>325</v>
      </c>
      <c r="E408" s="82">
        <v>10703010</v>
      </c>
      <c r="F408" s="52">
        <f>+GF!F290</f>
        <v>0</v>
      </c>
      <c r="G408" s="52">
        <f>+GF!G290</f>
        <v>0</v>
      </c>
      <c r="H408" s="52">
        <f>+GF!H290</f>
        <v>0</v>
      </c>
      <c r="I408" s="112"/>
      <c r="J408" s="86" t="s">
        <v>250</v>
      </c>
      <c r="L408" s="142"/>
      <c r="M408" s="101"/>
      <c r="N408" s="52"/>
      <c r="O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</row>
    <row r="409" spans="1:26" x14ac:dyDescent="0.25">
      <c r="D409" s="96" t="s">
        <v>326</v>
      </c>
      <c r="E409" s="82">
        <v>10703010</v>
      </c>
      <c r="F409" s="52">
        <f>+GF!F291</f>
        <v>0</v>
      </c>
      <c r="G409" s="52">
        <f>+GF!G291</f>
        <v>0</v>
      </c>
      <c r="H409" s="52">
        <f>+GF!H291</f>
        <v>0</v>
      </c>
      <c r="I409" s="112"/>
      <c r="J409" s="86" t="s">
        <v>250</v>
      </c>
      <c r="L409" s="142"/>
      <c r="M409" s="101"/>
      <c r="N409" s="52">
        <f>1532.71+12048.78</f>
        <v>13581.490000000002</v>
      </c>
      <c r="O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</row>
    <row r="410" spans="1:26" ht="13.5" customHeight="1" x14ac:dyDescent="0.25"/>
    <row r="411" spans="1:26" s="108" customFormat="1" x14ac:dyDescent="0.25">
      <c r="A411" s="108" t="s">
        <v>45</v>
      </c>
      <c r="E411" s="81" t="s">
        <v>0</v>
      </c>
      <c r="F411" s="109">
        <f>+F413</f>
        <v>10825367.030000001</v>
      </c>
      <c r="G411" s="109">
        <f t="shared" ref="G411:H411" si="41">+G413</f>
        <v>7289550.1399999997</v>
      </c>
      <c r="H411" s="109">
        <f t="shared" si="41"/>
        <v>3535816.89</v>
      </c>
      <c r="I411" s="110"/>
      <c r="J411" s="85"/>
      <c r="K411" s="85"/>
      <c r="L411" s="143"/>
      <c r="M411" s="111"/>
      <c r="N411" s="98"/>
      <c r="O411" s="98"/>
      <c r="Q411" s="98"/>
      <c r="R411" s="98"/>
      <c r="S411" s="98"/>
      <c r="T411" s="98"/>
      <c r="U411" s="98"/>
      <c r="V411" s="98"/>
      <c r="W411" s="98"/>
      <c r="X411" s="98"/>
      <c r="Y411" s="98"/>
      <c r="Z411" s="98"/>
    </row>
    <row r="412" spans="1:26" x14ac:dyDescent="0.25">
      <c r="E412" s="82"/>
      <c r="I412" s="112"/>
      <c r="L412" s="142"/>
      <c r="M412" s="101"/>
      <c r="N412" s="52"/>
      <c r="O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</row>
    <row r="413" spans="1:26" ht="12" customHeight="1" x14ac:dyDescent="0.25">
      <c r="A413" s="108" t="s">
        <v>119</v>
      </c>
      <c r="B413" s="108" t="s">
        <v>541</v>
      </c>
      <c r="C413" s="108"/>
      <c r="D413" s="108"/>
      <c r="E413" s="81">
        <v>9940</v>
      </c>
      <c r="F413" s="109">
        <f>SUM(F414:F458)</f>
        <v>10825367.030000001</v>
      </c>
      <c r="G413" s="109">
        <f>SUM(G414:G458)</f>
        <v>7289550.1399999997</v>
      </c>
      <c r="H413" s="109">
        <f>SUM(H414:H458)</f>
        <v>3535816.89</v>
      </c>
      <c r="I413" s="110"/>
      <c r="L413" s="142"/>
      <c r="M413" s="101"/>
      <c r="N413" s="52"/>
      <c r="O413" s="52"/>
      <c r="P413" s="101"/>
      <c r="Q413" s="52"/>
      <c r="R413" s="52"/>
      <c r="S413" s="52"/>
      <c r="T413" s="52"/>
      <c r="U413" s="52"/>
      <c r="V413" s="52"/>
      <c r="W413" s="52"/>
      <c r="X413" s="52"/>
      <c r="Y413" s="52"/>
      <c r="Z413" s="52"/>
    </row>
    <row r="414" spans="1:26" x14ac:dyDescent="0.25">
      <c r="C414" s="96" t="s">
        <v>80</v>
      </c>
      <c r="L414" s="142"/>
      <c r="M414" s="101"/>
      <c r="N414" s="52"/>
      <c r="O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</row>
    <row r="415" spans="1:26" x14ac:dyDescent="0.25">
      <c r="D415" s="96" t="s">
        <v>328</v>
      </c>
      <c r="E415" s="82">
        <v>10702990</v>
      </c>
      <c r="F415" s="52">
        <f>+GF!F302</f>
        <v>1029709</v>
      </c>
      <c r="G415" s="52">
        <f>+GF!G302</f>
        <v>0</v>
      </c>
      <c r="H415" s="52">
        <f>+GF!H302</f>
        <v>1029709</v>
      </c>
      <c r="J415" s="83"/>
      <c r="K415" s="87" t="s">
        <v>247</v>
      </c>
      <c r="L415" s="92"/>
      <c r="M415" s="117"/>
      <c r="N415" s="118"/>
      <c r="O415" s="118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</row>
    <row r="416" spans="1:26" ht="13.5" customHeight="1" x14ac:dyDescent="0.25">
      <c r="D416" s="96" t="s">
        <v>289</v>
      </c>
      <c r="E416" s="82" t="s">
        <v>0</v>
      </c>
      <c r="J416" s="83"/>
      <c r="K416" s="83"/>
      <c r="L416" s="142"/>
      <c r="M416" s="101"/>
      <c r="N416" s="131"/>
      <c r="O416" s="131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</row>
    <row r="417" spans="3:26" x14ac:dyDescent="0.25">
      <c r="C417" s="96" t="s">
        <v>82</v>
      </c>
      <c r="E417" s="82"/>
      <c r="L417" s="142"/>
      <c r="M417" s="101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</row>
    <row r="418" spans="3:26" x14ac:dyDescent="0.25">
      <c r="D418" s="96" t="s">
        <v>482</v>
      </c>
      <c r="E418" s="82">
        <v>10703010</v>
      </c>
      <c r="F418" s="52">
        <f>+GF!F307</f>
        <v>456063.13000000006</v>
      </c>
      <c r="G418" s="52">
        <f>+GF!G307</f>
        <v>456063.13</v>
      </c>
      <c r="H418" s="52">
        <f>+GF!H307</f>
        <v>0</v>
      </c>
      <c r="J418" s="89" t="str">
        <f>+GF!I307</f>
        <v>AB 2019 Re-aligned SB#3 2020</v>
      </c>
      <c r="K418" s="95"/>
      <c r="L418" s="93"/>
      <c r="M418" s="132"/>
      <c r="N418" s="136">
        <v>35259.599999999999</v>
      </c>
      <c r="O418" s="136"/>
      <c r="Q418" s="52"/>
      <c r="R418" s="52"/>
      <c r="S418" s="52"/>
      <c r="T418" s="52"/>
      <c r="U418" s="52"/>
      <c r="V418" s="52"/>
      <c r="W418" s="52"/>
      <c r="X418" s="52"/>
      <c r="Y418" s="52"/>
      <c r="Z418" s="52"/>
    </row>
    <row r="419" spans="3:26" ht="27" x14ac:dyDescent="0.25">
      <c r="D419" s="96" t="s">
        <v>330</v>
      </c>
      <c r="E419" s="82">
        <v>10703010</v>
      </c>
      <c r="F419" s="52">
        <f>+GF!F308</f>
        <v>0</v>
      </c>
      <c r="G419" s="52">
        <f>+GF!G308</f>
        <v>0</v>
      </c>
      <c r="H419" s="52">
        <f>+GF!H308</f>
        <v>0</v>
      </c>
      <c r="J419" s="89" t="str">
        <f>+GF!I308</f>
        <v>AB 2019 Re-aligned SB#3 2020</v>
      </c>
      <c r="K419" s="95"/>
      <c r="L419" s="93" t="s">
        <v>586</v>
      </c>
      <c r="M419" s="132"/>
      <c r="N419" s="136"/>
      <c r="O419" s="136"/>
      <c r="Q419" s="52"/>
      <c r="R419" s="52"/>
      <c r="S419" s="52"/>
      <c r="T419" s="52"/>
      <c r="U419" s="52"/>
      <c r="V419" s="52"/>
      <c r="W419" s="52"/>
      <c r="X419" s="52"/>
      <c r="Y419" s="52"/>
      <c r="Z419" s="52"/>
    </row>
    <row r="420" spans="3:26" x14ac:dyDescent="0.25">
      <c r="D420" s="96" t="s">
        <v>331</v>
      </c>
      <c r="E420" s="82">
        <v>10703010</v>
      </c>
      <c r="F420" s="52">
        <f>+GF!F309</f>
        <v>0</v>
      </c>
      <c r="G420" s="52">
        <f>+GF!G309</f>
        <v>0</v>
      </c>
      <c r="H420" s="52">
        <f>+GF!H309</f>
        <v>0</v>
      </c>
      <c r="J420" s="89" t="str">
        <f>+GF!I309</f>
        <v>AB 2019 Re-aligned SB#3 2020</v>
      </c>
      <c r="K420" s="95"/>
      <c r="L420" s="93"/>
      <c r="M420" s="132"/>
      <c r="N420" s="136"/>
      <c r="O420" s="136"/>
      <c r="Q420" s="52"/>
      <c r="R420" s="52"/>
      <c r="S420" s="52"/>
      <c r="T420" s="52"/>
      <c r="U420" s="52"/>
      <c r="V420" s="52"/>
      <c r="W420" s="52"/>
      <c r="X420" s="52"/>
      <c r="Y420" s="52"/>
      <c r="Z420" s="52"/>
    </row>
    <row r="421" spans="3:26" x14ac:dyDescent="0.25">
      <c r="D421" s="96" t="s">
        <v>332</v>
      </c>
      <c r="E421" s="82">
        <v>10703010</v>
      </c>
      <c r="F421" s="52">
        <f>+GF!F310</f>
        <v>0</v>
      </c>
      <c r="G421" s="52">
        <f>+GF!G310</f>
        <v>0</v>
      </c>
      <c r="H421" s="52">
        <f>+GF!H310</f>
        <v>0</v>
      </c>
      <c r="J421" s="89" t="str">
        <f>+GF!I310</f>
        <v>AB 2019 Realigned for SB1 2020</v>
      </c>
      <c r="K421" s="95"/>
      <c r="L421" s="93"/>
      <c r="M421" s="132"/>
      <c r="N421" s="136"/>
      <c r="O421" s="136"/>
      <c r="Q421" s="52"/>
      <c r="R421" s="52"/>
      <c r="S421" s="52"/>
      <c r="T421" s="52"/>
      <c r="U421" s="52"/>
      <c r="V421" s="52"/>
      <c r="W421" s="52"/>
      <c r="X421" s="52"/>
      <c r="Y421" s="52"/>
      <c r="Z421" s="52"/>
    </row>
    <row r="422" spans="3:26" x14ac:dyDescent="0.25">
      <c r="D422" s="96" t="s">
        <v>333</v>
      </c>
      <c r="E422" s="82">
        <v>10703010</v>
      </c>
      <c r="F422" s="52">
        <f>+GF!F311</f>
        <v>0</v>
      </c>
      <c r="G422" s="52">
        <f>+GF!G311</f>
        <v>0</v>
      </c>
      <c r="H422" s="52">
        <f>+GF!H311</f>
        <v>0</v>
      </c>
      <c r="J422" s="89" t="str">
        <f>+GF!I311</f>
        <v>AB 2019 Re-aligned SB#3 2020</v>
      </c>
      <c r="K422" s="95"/>
      <c r="L422" s="93"/>
      <c r="M422" s="132"/>
      <c r="N422" s="136"/>
      <c r="O422" s="136"/>
      <c r="Q422" s="52"/>
      <c r="R422" s="52"/>
      <c r="S422" s="52"/>
      <c r="T422" s="52"/>
      <c r="U422" s="52"/>
      <c r="V422" s="52"/>
      <c r="W422" s="52"/>
      <c r="X422" s="52"/>
      <c r="Y422" s="52"/>
      <c r="Z422" s="52"/>
    </row>
    <row r="423" spans="3:26" x14ac:dyDescent="0.25">
      <c r="E423" s="82"/>
      <c r="J423" s="93"/>
      <c r="K423" s="93"/>
      <c r="L423" s="93"/>
      <c r="M423" s="132"/>
      <c r="N423" s="133"/>
      <c r="O423" s="133"/>
      <c r="Q423" s="52"/>
      <c r="R423" s="52"/>
      <c r="S423" s="52"/>
      <c r="T423" s="52"/>
      <c r="U423" s="52"/>
      <c r="V423" s="52"/>
      <c r="W423" s="52"/>
      <c r="X423" s="52"/>
      <c r="Y423" s="52"/>
      <c r="Z423" s="52"/>
    </row>
    <row r="424" spans="3:26" x14ac:dyDescent="0.25">
      <c r="C424" s="126" t="s">
        <v>242</v>
      </c>
      <c r="D424" s="126"/>
      <c r="E424" s="82"/>
      <c r="J424" s="93"/>
      <c r="K424" s="93"/>
      <c r="L424" s="93"/>
      <c r="M424" s="132"/>
      <c r="N424" s="133"/>
      <c r="O424" s="133"/>
      <c r="Q424" s="52"/>
      <c r="R424" s="52"/>
      <c r="S424" s="52"/>
      <c r="T424" s="52"/>
      <c r="U424" s="52"/>
      <c r="V424" s="52"/>
      <c r="W424" s="52"/>
      <c r="X424" s="52"/>
      <c r="Y424" s="52"/>
      <c r="Z424" s="52"/>
    </row>
    <row r="425" spans="3:26" x14ac:dyDescent="0.25">
      <c r="D425" s="96" t="s">
        <v>451</v>
      </c>
      <c r="E425" s="82">
        <v>10703040</v>
      </c>
      <c r="F425" s="52">
        <f>+GF!F315</f>
        <v>987094.9</v>
      </c>
      <c r="G425" s="52">
        <f>+GF!G315</f>
        <v>598807</v>
      </c>
      <c r="H425" s="52">
        <f>+GF!H315</f>
        <v>388287.9</v>
      </c>
      <c r="J425" s="93"/>
      <c r="K425" s="87" t="s">
        <v>249</v>
      </c>
      <c r="L425" s="92"/>
      <c r="M425" s="117"/>
      <c r="N425" s="118"/>
      <c r="O425" s="118"/>
      <c r="Q425" s="52"/>
      <c r="R425" s="52"/>
      <c r="S425" s="52"/>
      <c r="T425" s="52"/>
      <c r="U425" s="52"/>
      <c r="V425" s="52"/>
      <c r="W425" s="52"/>
      <c r="X425" s="52"/>
      <c r="Y425" s="52"/>
      <c r="Z425" s="52"/>
    </row>
    <row r="426" spans="3:26" x14ac:dyDescent="0.25">
      <c r="E426" s="82"/>
      <c r="L426" s="142"/>
      <c r="M426" s="101"/>
      <c r="N426" s="52"/>
      <c r="O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</row>
    <row r="427" spans="3:26" x14ac:dyDescent="0.25">
      <c r="C427" s="96" t="s">
        <v>83</v>
      </c>
      <c r="E427" s="82"/>
      <c r="L427" s="142"/>
      <c r="M427" s="101"/>
      <c r="N427" s="52"/>
      <c r="O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</row>
    <row r="428" spans="3:26" x14ac:dyDescent="0.25">
      <c r="D428" s="96" t="s">
        <v>334</v>
      </c>
      <c r="E428" s="82">
        <v>10704990</v>
      </c>
      <c r="F428" s="52">
        <f>+GF!F318</f>
        <v>0</v>
      </c>
      <c r="G428" s="52">
        <f>+GF!G318</f>
        <v>0</v>
      </c>
      <c r="H428" s="52">
        <f>+GF!H318</f>
        <v>0</v>
      </c>
      <c r="J428" s="77" t="str">
        <f>+GF!I318</f>
        <v>SB#3 2019 Re-aligned SB#3 2020</v>
      </c>
      <c r="K428" s="87"/>
      <c r="L428" s="92"/>
      <c r="M428" s="117"/>
      <c r="N428" s="118"/>
      <c r="O428" s="118"/>
      <c r="R428" s="52"/>
      <c r="S428" s="52"/>
      <c r="T428" s="52"/>
      <c r="U428" s="52"/>
      <c r="V428" s="52"/>
      <c r="W428" s="52"/>
      <c r="X428" s="52"/>
      <c r="Y428" s="52"/>
      <c r="Z428" s="52"/>
    </row>
    <row r="429" spans="3:26" x14ac:dyDescent="0.25">
      <c r="D429" s="96" t="s">
        <v>453</v>
      </c>
      <c r="E429" s="82">
        <v>10704990</v>
      </c>
      <c r="F429" s="52">
        <f>+GF!F319</f>
        <v>3000000</v>
      </c>
      <c r="G429" s="52">
        <f>+GF!G319</f>
        <v>2940790.4299999997</v>
      </c>
      <c r="H429" s="52">
        <f>+GF!H319</f>
        <v>59209.570000000298</v>
      </c>
      <c r="J429" s="94" t="str">
        <f>+GF!I319</f>
        <v>AB 2019 Completed 10/30/2020</v>
      </c>
      <c r="K429" s="95"/>
      <c r="L429" s="93"/>
      <c r="M429" s="132"/>
      <c r="N429" s="136"/>
      <c r="O429" s="136"/>
      <c r="R429" s="52"/>
      <c r="S429" s="52"/>
      <c r="T429" s="52"/>
      <c r="U429" s="52"/>
      <c r="V429" s="52"/>
      <c r="W429" s="52"/>
      <c r="X429" s="52"/>
      <c r="Y429" s="52"/>
      <c r="Z429" s="52"/>
    </row>
    <row r="430" spans="3:26" x14ac:dyDescent="0.25">
      <c r="D430" s="96" t="s">
        <v>457</v>
      </c>
      <c r="E430" s="82">
        <v>10704990</v>
      </c>
      <c r="F430" s="52">
        <f>+GF!F320</f>
        <v>3000000</v>
      </c>
      <c r="G430" s="52">
        <f>+GF!G320</f>
        <v>2941389.58</v>
      </c>
      <c r="H430" s="52">
        <f>+GF!H320</f>
        <v>58610.419999999925</v>
      </c>
      <c r="J430" s="94" t="str">
        <f>+GF!I320</f>
        <v>AB 2019 Completed 10/27/2020</v>
      </c>
      <c r="K430" s="95"/>
      <c r="L430" s="93"/>
      <c r="M430" s="132"/>
      <c r="N430" s="136"/>
      <c r="O430" s="136"/>
      <c r="R430" s="52"/>
      <c r="S430" s="52"/>
      <c r="T430" s="52"/>
      <c r="U430" s="52"/>
      <c r="V430" s="52"/>
      <c r="W430" s="52"/>
      <c r="X430" s="52"/>
      <c r="Y430" s="52"/>
      <c r="Z430" s="52"/>
    </row>
    <row r="431" spans="3:26" x14ac:dyDescent="0.25">
      <c r="D431" s="96" t="s">
        <v>335</v>
      </c>
      <c r="E431" s="82">
        <v>10704990</v>
      </c>
      <c r="F431" s="52">
        <f>+GF!F321</f>
        <v>79136</v>
      </c>
      <c r="G431" s="52">
        <f>+GF!G321</f>
        <v>79136</v>
      </c>
      <c r="H431" s="52">
        <f>+GF!H321</f>
        <v>0</v>
      </c>
      <c r="J431" s="94" t="str">
        <f>+GF!I321</f>
        <v>AB 2019 Re-aligned SB#3 2020</v>
      </c>
      <c r="K431" s="95"/>
      <c r="L431" s="93"/>
      <c r="M431" s="132"/>
      <c r="N431" s="136">
        <v>79136</v>
      </c>
      <c r="O431" s="136"/>
      <c r="R431" s="52"/>
      <c r="S431" s="52"/>
      <c r="T431" s="52"/>
      <c r="U431" s="52"/>
      <c r="V431" s="52"/>
      <c r="W431" s="52"/>
      <c r="X431" s="52"/>
      <c r="Y431" s="52"/>
      <c r="Z431" s="52"/>
    </row>
    <row r="432" spans="3:26" x14ac:dyDescent="0.25">
      <c r="D432" s="96" t="s">
        <v>336</v>
      </c>
      <c r="E432" s="82">
        <v>10704990</v>
      </c>
      <c r="F432" s="52">
        <f>+GF!F324</f>
        <v>54332.999999999993</v>
      </c>
      <c r="G432" s="52">
        <f>+GF!G324</f>
        <v>54333</v>
      </c>
      <c r="H432" s="52">
        <f>+GF!H324</f>
        <v>0</v>
      </c>
      <c r="J432" s="94" t="str">
        <f>+GF!I324</f>
        <v>AB 2019 Re-aligned SB#3 2020</v>
      </c>
      <c r="K432" s="95"/>
      <c r="L432" s="93"/>
      <c r="M432" s="132"/>
      <c r="N432" s="136">
        <v>54333</v>
      </c>
      <c r="O432" s="136"/>
      <c r="R432" s="52"/>
      <c r="S432" s="52"/>
      <c r="T432" s="52"/>
      <c r="U432" s="52"/>
      <c r="V432" s="52"/>
      <c r="W432" s="52"/>
      <c r="X432" s="52"/>
      <c r="Y432" s="52"/>
      <c r="Z432" s="52"/>
    </row>
    <row r="433" spans="3:26" x14ac:dyDescent="0.25">
      <c r="D433" s="96" t="s">
        <v>337</v>
      </c>
      <c r="E433" s="82">
        <v>10704990</v>
      </c>
      <c r="F433" s="52">
        <f>+GF!F325</f>
        <v>115237.00000000001</v>
      </c>
      <c r="G433" s="52">
        <f>+GF!G325</f>
        <v>115237</v>
      </c>
      <c r="H433" s="52">
        <f>+GF!H325</f>
        <v>0</v>
      </c>
      <c r="J433" s="94" t="str">
        <f>+GF!I325</f>
        <v>AB 2019 Re-aligned SB#3 2020</v>
      </c>
      <c r="K433" s="95"/>
      <c r="L433" s="93"/>
      <c r="M433" s="132"/>
      <c r="N433" s="136">
        <v>115237</v>
      </c>
      <c r="O433" s="136"/>
      <c r="R433" s="52"/>
      <c r="S433" s="52"/>
      <c r="T433" s="52"/>
      <c r="U433" s="52"/>
      <c r="V433" s="52"/>
      <c r="W433" s="52"/>
      <c r="X433" s="52"/>
      <c r="Y433" s="52"/>
      <c r="Z433" s="52"/>
    </row>
    <row r="434" spans="3:26" x14ac:dyDescent="0.25">
      <c r="D434" s="96" t="s">
        <v>338</v>
      </c>
      <c r="E434" s="82">
        <v>10704990</v>
      </c>
      <c r="F434" s="52">
        <f>+GF!F326</f>
        <v>30367.5</v>
      </c>
      <c r="G434" s="52">
        <f>+GF!G326</f>
        <v>30367.5</v>
      </c>
      <c r="H434" s="52">
        <f>+GF!H326</f>
        <v>0</v>
      </c>
      <c r="J434" s="94" t="str">
        <f>+GF!I326</f>
        <v>AB 2019 Re-aligned SB#3 2020</v>
      </c>
      <c r="K434" s="95"/>
      <c r="L434" s="93"/>
      <c r="M434" s="137" t="s">
        <v>513</v>
      </c>
      <c r="N434" s="136">
        <v>30367.5</v>
      </c>
      <c r="O434" s="136"/>
      <c r="R434" s="52"/>
      <c r="S434" s="52"/>
      <c r="T434" s="52"/>
      <c r="U434" s="52"/>
      <c r="V434" s="52"/>
      <c r="W434" s="52"/>
      <c r="X434" s="52"/>
      <c r="Y434" s="52"/>
      <c r="Z434" s="52"/>
    </row>
    <row r="435" spans="3:26" x14ac:dyDescent="0.25">
      <c r="D435" s="96" t="s">
        <v>339</v>
      </c>
      <c r="E435" s="82">
        <v>10704990</v>
      </c>
      <c r="F435" s="52">
        <f>+GF!F327</f>
        <v>73426.5</v>
      </c>
      <c r="G435" s="52">
        <f>+GF!G327</f>
        <v>73426.5</v>
      </c>
      <c r="H435" s="52">
        <f>+GF!H327</f>
        <v>0</v>
      </c>
      <c r="J435" s="94" t="str">
        <f>+GF!I327</f>
        <v>AB 2019 Re-aligned SB#3 2020</v>
      </c>
      <c r="K435" s="95"/>
      <c r="L435" s="93"/>
      <c r="M435" s="132"/>
      <c r="N435" s="136">
        <v>73426.5</v>
      </c>
      <c r="O435" s="136"/>
      <c r="R435" s="52"/>
      <c r="S435" s="52"/>
      <c r="T435" s="52"/>
      <c r="U435" s="52"/>
      <c r="V435" s="52"/>
      <c r="W435" s="52"/>
      <c r="X435" s="52"/>
      <c r="Y435" s="52"/>
      <c r="Z435" s="52"/>
    </row>
    <row r="436" spans="3:26" ht="12" customHeight="1" x14ac:dyDescent="0.25">
      <c r="E436" s="82"/>
      <c r="J436" s="83"/>
      <c r="L436" s="142"/>
      <c r="M436" s="101"/>
      <c r="N436" s="52" t="s">
        <v>481</v>
      </c>
      <c r="O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</row>
    <row r="437" spans="3:26" x14ac:dyDescent="0.25">
      <c r="C437" s="96" t="s">
        <v>84</v>
      </c>
      <c r="E437" s="82"/>
      <c r="L437" s="142"/>
      <c r="M437" s="101"/>
      <c r="N437" s="52"/>
      <c r="O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</row>
    <row r="438" spans="3:26" x14ac:dyDescent="0.25">
      <c r="D438" s="96" t="s">
        <v>460</v>
      </c>
      <c r="E438" s="82">
        <v>10705030</v>
      </c>
      <c r="F438" s="52">
        <f>+GF!F330</f>
        <v>0</v>
      </c>
      <c r="G438" s="52">
        <f>+GF!G330</f>
        <v>0</v>
      </c>
      <c r="H438" s="52">
        <f>+GF!H330</f>
        <v>0</v>
      </c>
      <c r="J438" s="94" t="str">
        <f>+GF!I330</f>
        <v>AB 2019 Re-aligned SB#3 2020</v>
      </c>
      <c r="K438" s="95"/>
      <c r="L438" s="93"/>
      <c r="M438" s="132"/>
      <c r="N438" s="136"/>
      <c r="O438" s="136"/>
      <c r="Q438" s="52"/>
      <c r="R438" s="52"/>
      <c r="S438" s="52"/>
      <c r="T438" s="52"/>
      <c r="U438" s="52"/>
      <c r="V438" s="52"/>
      <c r="W438" s="52"/>
      <c r="X438" s="52"/>
      <c r="Y438" s="52"/>
      <c r="Z438" s="52"/>
    </row>
    <row r="439" spans="3:26" x14ac:dyDescent="0.25">
      <c r="D439" s="96" t="s">
        <v>461</v>
      </c>
      <c r="E439" s="82"/>
      <c r="J439" s="94"/>
      <c r="K439" s="95"/>
      <c r="L439" s="93"/>
      <c r="M439" s="132"/>
      <c r="N439" s="136"/>
      <c r="O439" s="136"/>
      <c r="Q439" s="52"/>
      <c r="R439" s="52"/>
      <c r="S439" s="52"/>
      <c r="T439" s="52"/>
      <c r="U439" s="52"/>
      <c r="V439" s="52"/>
      <c r="W439" s="52"/>
      <c r="X439" s="52"/>
      <c r="Y439" s="52"/>
      <c r="Z439" s="52"/>
    </row>
    <row r="440" spans="3:26" x14ac:dyDescent="0.25">
      <c r="D440" s="96" t="s">
        <v>459</v>
      </c>
      <c r="E440" s="82">
        <v>10705030</v>
      </c>
      <c r="F440" s="52">
        <f>+GF!F332</f>
        <v>0</v>
      </c>
      <c r="G440" s="52">
        <f>+GF!G332</f>
        <v>0</v>
      </c>
      <c r="H440" s="52">
        <f>+GF!H332</f>
        <v>0</v>
      </c>
      <c r="J440" s="94" t="str">
        <f>+GF!I332</f>
        <v>AB 2019 Re-aligned SB#3 2020</v>
      </c>
      <c r="K440" s="95"/>
      <c r="L440" s="93"/>
      <c r="M440" s="132"/>
      <c r="N440" s="136"/>
      <c r="O440" s="136"/>
      <c r="Q440" s="52"/>
      <c r="R440" s="52"/>
      <c r="S440" s="52"/>
      <c r="T440" s="52"/>
      <c r="U440" s="52"/>
      <c r="V440" s="52"/>
      <c r="W440" s="52"/>
      <c r="X440" s="52"/>
      <c r="Y440" s="52"/>
      <c r="Z440" s="52"/>
    </row>
    <row r="441" spans="3:26" x14ac:dyDescent="0.25">
      <c r="D441" s="96" t="s">
        <v>341</v>
      </c>
      <c r="E441" s="82">
        <v>10705030</v>
      </c>
      <c r="F441" s="52">
        <f>+GF!F333</f>
        <v>0</v>
      </c>
      <c r="G441" s="52">
        <f>+GF!G333</f>
        <v>0</v>
      </c>
      <c r="H441" s="52">
        <f>+GF!H333</f>
        <v>0</v>
      </c>
      <c r="J441" s="94" t="str">
        <f>+GF!I333</f>
        <v>AB 2019 Re-aligned SB#3 2020</v>
      </c>
      <c r="K441" s="95"/>
      <c r="L441" s="93"/>
      <c r="M441" s="132"/>
      <c r="N441" s="136"/>
      <c r="O441" s="136"/>
      <c r="Q441" s="52"/>
      <c r="R441" s="52"/>
      <c r="S441" s="52"/>
      <c r="T441" s="52"/>
      <c r="U441" s="52"/>
      <c r="V441" s="52"/>
      <c r="W441" s="52"/>
      <c r="X441" s="52"/>
      <c r="Y441" s="52"/>
      <c r="Z441" s="52"/>
    </row>
    <row r="442" spans="3:26" x14ac:dyDescent="0.25">
      <c r="D442" s="96" t="s">
        <v>462</v>
      </c>
      <c r="E442" s="82">
        <v>10705030</v>
      </c>
      <c r="F442" s="52">
        <f>+GF!F334</f>
        <v>0</v>
      </c>
      <c r="G442" s="52">
        <f>+GF!G334</f>
        <v>0</v>
      </c>
      <c r="H442" s="52">
        <f>+GF!H334</f>
        <v>0</v>
      </c>
      <c r="J442" s="94" t="str">
        <f>+GF!I334</f>
        <v>AB 2019 Re-aligned SB#3 2020</v>
      </c>
      <c r="K442" s="95"/>
      <c r="L442" s="93"/>
      <c r="M442" s="132"/>
      <c r="N442" s="136"/>
      <c r="O442" s="136"/>
      <c r="Q442" s="52"/>
      <c r="R442" s="52"/>
      <c r="S442" s="52"/>
      <c r="T442" s="52"/>
      <c r="U442" s="52"/>
      <c r="V442" s="52"/>
      <c r="W442" s="52"/>
      <c r="X442" s="52"/>
      <c r="Y442" s="52"/>
      <c r="Z442" s="52"/>
    </row>
    <row r="443" spans="3:26" x14ac:dyDescent="0.25">
      <c r="D443" s="96" t="s">
        <v>463</v>
      </c>
      <c r="E443" s="82"/>
      <c r="J443" s="95"/>
      <c r="K443" s="95"/>
      <c r="L443" s="93"/>
      <c r="M443" s="132"/>
      <c r="N443" s="136"/>
      <c r="O443" s="136"/>
      <c r="Q443" s="52"/>
      <c r="R443" s="52"/>
      <c r="S443" s="52"/>
      <c r="T443" s="52"/>
      <c r="U443" s="52"/>
      <c r="V443" s="52"/>
      <c r="W443" s="52"/>
      <c r="X443" s="52"/>
      <c r="Y443" s="52"/>
      <c r="Z443" s="52"/>
    </row>
    <row r="444" spans="3:26" x14ac:dyDescent="0.25">
      <c r="D444" s="96" t="s">
        <v>340</v>
      </c>
      <c r="E444" s="82">
        <v>10705030</v>
      </c>
      <c r="F444" s="52">
        <f>+GF!F336</f>
        <v>0</v>
      </c>
      <c r="G444" s="52">
        <f>+GF!G336</f>
        <v>0</v>
      </c>
      <c r="H444" s="52">
        <f>+GF!H336</f>
        <v>0</v>
      </c>
      <c r="J444" s="77" t="str">
        <f>+GF!I336</f>
        <v>SB#3 2019 Re-aligned SB#3 2020</v>
      </c>
      <c r="K444" s="87"/>
      <c r="L444" s="92"/>
      <c r="M444" s="117"/>
      <c r="N444" s="118"/>
      <c r="O444" s="118"/>
      <c r="Q444" s="52"/>
      <c r="R444" s="52"/>
      <c r="S444" s="52"/>
      <c r="T444" s="52"/>
      <c r="U444" s="52"/>
      <c r="V444" s="52"/>
      <c r="W444" s="52"/>
      <c r="X444" s="52"/>
      <c r="Y444" s="52"/>
      <c r="Z444" s="52"/>
    </row>
    <row r="445" spans="3:26" x14ac:dyDescent="0.25">
      <c r="E445" s="82"/>
      <c r="J445" s="93"/>
      <c r="K445" s="93"/>
      <c r="L445" s="93"/>
      <c r="M445" s="132"/>
      <c r="N445" s="133"/>
      <c r="O445" s="133"/>
      <c r="Q445" s="52"/>
      <c r="R445" s="52"/>
      <c r="S445" s="52"/>
      <c r="T445" s="52"/>
      <c r="U445" s="52"/>
      <c r="V445" s="52"/>
      <c r="W445" s="52"/>
      <c r="X445" s="52"/>
      <c r="Y445" s="52"/>
      <c r="Z445" s="52"/>
    </row>
    <row r="446" spans="3:26" x14ac:dyDescent="0.25">
      <c r="C446" s="96" t="s">
        <v>87</v>
      </c>
      <c r="L446" s="142"/>
      <c r="M446" s="101"/>
      <c r="N446" s="52"/>
      <c r="O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</row>
    <row r="447" spans="3:26" x14ac:dyDescent="0.25">
      <c r="D447" s="96" t="s">
        <v>342</v>
      </c>
      <c r="E447" s="82">
        <v>10705090</v>
      </c>
      <c r="F447" s="52">
        <f>+GF!F344</f>
        <v>0</v>
      </c>
      <c r="G447" s="52">
        <f>+GF!G344</f>
        <v>0</v>
      </c>
      <c r="H447" s="52">
        <f>+GF!H344</f>
        <v>0</v>
      </c>
      <c r="J447" s="77" t="str">
        <f>+GF!I344</f>
        <v>SB#3 2019 Re-aligned SB#3 2020</v>
      </c>
      <c r="K447" s="87"/>
      <c r="L447" s="92"/>
      <c r="M447" s="117"/>
      <c r="N447" s="118"/>
      <c r="O447" s="118"/>
      <c r="Q447" s="52"/>
      <c r="R447" s="52"/>
      <c r="S447" s="52"/>
      <c r="T447" s="52"/>
      <c r="U447" s="52"/>
      <c r="V447" s="52"/>
      <c r="W447" s="52"/>
      <c r="X447" s="52"/>
      <c r="Y447" s="52"/>
      <c r="Z447" s="52"/>
    </row>
    <row r="448" spans="3:26" x14ac:dyDescent="0.25">
      <c r="D448" s="96" t="s">
        <v>343</v>
      </c>
      <c r="E448" s="82">
        <v>10705090</v>
      </c>
      <c r="F448" s="52">
        <f>+GF!F345</f>
        <v>2000000</v>
      </c>
      <c r="G448" s="52">
        <f>+GF!G345</f>
        <v>0</v>
      </c>
      <c r="H448" s="52">
        <f>+GF!H345</f>
        <v>2000000</v>
      </c>
      <c r="J448" s="95" t="s">
        <v>329</v>
      </c>
      <c r="K448" s="95"/>
      <c r="L448" s="93"/>
      <c r="M448" s="132"/>
      <c r="N448" s="136"/>
      <c r="O448" s="136"/>
      <c r="Q448" s="52"/>
      <c r="R448" s="52"/>
      <c r="S448" s="52"/>
      <c r="T448" s="52"/>
      <c r="U448" s="52"/>
      <c r="V448" s="52"/>
      <c r="W448" s="52"/>
      <c r="X448" s="52"/>
      <c r="Y448" s="52"/>
      <c r="Z448" s="52"/>
    </row>
    <row r="449" spans="3:26" x14ac:dyDescent="0.25">
      <c r="E449" s="82"/>
      <c r="L449" s="142"/>
      <c r="M449" s="101"/>
      <c r="N449" s="52"/>
      <c r="O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</row>
    <row r="450" spans="3:26" x14ac:dyDescent="0.25">
      <c r="C450" s="96" t="s">
        <v>88</v>
      </c>
      <c r="E450" s="82"/>
      <c r="L450" s="142"/>
      <c r="M450" s="101"/>
      <c r="N450" s="52"/>
      <c r="O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</row>
    <row r="451" spans="3:26" x14ac:dyDescent="0.25">
      <c r="D451" s="96" t="s">
        <v>467</v>
      </c>
      <c r="E451" s="82">
        <v>10705140</v>
      </c>
      <c r="F451" s="52">
        <f>+GF!F349</f>
        <v>0</v>
      </c>
      <c r="G451" s="52">
        <f>+GF!G349</f>
        <v>0</v>
      </c>
      <c r="H451" s="52">
        <f>+GF!H349</f>
        <v>0</v>
      </c>
      <c r="J451" s="94" t="str">
        <f>+GF!I349</f>
        <v>AB 2019 Re-aligned SB#3 2020</v>
      </c>
      <c r="K451" s="95"/>
      <c r="L451" s="93"/>
      <c r="M451" s="132"/>
      <c r="N451" s="136"/>
      <c r="O451" s="136"/>
      <c r="Q451" s="52"/>
      <c r="R451" s="52"/>
      <c r="S451" s="52"/>
      <c r="T451" s="52"/>
      <c r="U451" s="52"/>
      <c r="V451" s="52"/>
      <c r="W451" s="52"/>
      <c r="X451" s="52"/>
      <c r="Y451" s="52"/>
      <c r="Z451" s="52"/>
    </row>
    <row r="452" spans="3:26" x14ac:dyDescent="0.25">
      <c r="D452" s="96" t="s">
        <v>468</v>
      </c>
      <c r="E452" s="82"/>
      <c r="J452" s="95"/>
      <c r="K452" s="95"/>
      <c r="L452" s="93"/>
      <c r="M452" s="132"/>
      <c r="N452" s="136"/>
      <c r="O452" s="136"/>
      <c r="Q452" s="52"/>
      <c r="R452" s="52"/>
      <c r="S452" s="52"/>
      <c r="T452" s="52"/>
      <c r="U452" s="52"/>
      <c r="V452" s="52"/>
      <c r="W452" s="52"/>
      <c r="X452" s="52"/>
      <c r="Y452" s="52"/>
      <c r="Z452" s="52"/>
    </row>
    <row r="453" spans="3:26" x14ac:dyDescent="0.25">
      <c r="E453" s="82"/>
      <c r="L453" s="142"/>
      <c r="M453" s="101"/>
      <c r="N453" s="52"/>
      <c r="O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</row>
    <row r="454" spans="3:26" x14ac:dyDescent="0.25">
      <c r="C454" s="126" t="s">
        <v>89</v>
      </c>
      <c r="D454" s="126"/>
      <c r="E454" s="82"/>
      <c r="L454" s="142"/>
      <c r="M454" s="101"/>
      <c r="N454" s="52"/>
      <c r="O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</row>
    <row r="455" spans="3:26" x14ac:dyDescent="0.25">
      <c r="D455" s="96" t="s">
        <v>344</v>
      </c>
      <c r="E455" s="82">
        <v>10706010</v>
      </c>
      <c r="F455" s="52">
        <f>+GF!F356</f>
        <v>0</v>
      </c>
      <c r="G455" s="52">
        <f>+GF!G356</f>
        <v>0</v>
      </c>
      <c r="H455" s="52">
        <f>+GF!H356</f>
        <v>0</v>
      </c>
      <c r="J455" s="77" t="str">
        <f>+GF!I356</f>
        <v>SB#3 2019 Re-aligned SB#3 2020</v>
      </c>
      <c r="K455" s="87"/>
      <c r="L455" s="92"/>
      <c r="M455" s="117"/>
      <c r="N455" s="118"/>
      <c r="O455" s="118"/>
      <c r="Q455" s="52"/>
      <c r="R455" s="52"/>
      <c r="S455" s="52"/>
      <c r="T455" s="52"/>
      <c r="U455" s="52"/>
      <c r="V455" s="52"/>
      <c r="W455" s="52"/>
      <c r="X455" s="52"/>
      <c r="Y455" s="52"/>
      <c r="Z455" s="52"/>
    </row>
    <row r="456" spans="3:26" x14ac:dyDescent="0.25">
      <c r="E456" s="82"/>
      <c r="L456" s="142"/>
      <c r="M456" s="101"/>
      <c r="N456" s="52"/>
      <c r="O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</row>
    <row r="457" spans="3:26" x14ac:dyDescent="0.25">
      <c r="C457" s="126" t="s">
        <v>117</v>
      </c>
      <c r="D457" s="126"/>
      <c r="E457" s="82"/>
      <c r="L457" s="142"/>
      <c r="M457" s="101"/>
      <c r="N457" s="52"/>
      <c r="O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</row>
    <row r="458" spans="3:26" x14ac:dyDescent="0.25">
      <c r="D458" s="96" t="s">
        <v>345</v>
      </c>
      <c r="E458" s="82">
        <v>10799990</v>
      </c>
      <c r="F458" s="52">
        <f>+GF!F359</f>
        <v>0</v>
      </c>
      <c r="G458" s="52">
        <f>+GF!G359</f>
        <v>0</v>
      </c>
      <c r="H458" s="52">
        <f>+GF!H359</f>
        <v>0</v>
      </c>
      <c r="J458" s="89" t="str">
        <f>+GF!I359</f>
        <v>AB 2019 Re-aligned SB#3 2020</v>
      </c>
      <c r="K458" s="94"/>
      <c r="L458" s="93"/>
      <c r="M458" s="132"/>
      <c r="N458" s="133"/>
      <c r="O458" s="133"/>
      <c r="Q458" s="52"/>
      <c r="R458" s="52"/>
      <c r="S458" s="52"/>
      <c r="T458" s="52"/>
      <c r="U458" s="52"/>
      <c r="V458" s="52"/>
      <c r="W458" s="52"/>
      <c r="X458" s="52"/>
      <c r="Y458" s="52"/>
      <c r="Z458" s="52"/>
    </row>
    <row r="465" spans="4:26" x14ac:dyDescent="0.25">
      <c r="D465" s="137" t="s">
        <v>579</v>
      </c>
      <c r="E465" s="101" t="s">
        <v>580</v>
      </c>
      <c r="G465" s="131" t="s">
        <v>150</v>
      </c>
      <c r="I465" s="146" t="s">
        <v>149</v>
      </c>
      <c r="L465" s="142"/>
      <c r="M465" s="101"/>
      <c r="N465" s="52"/>
      <c r="O465" s="52"/>
      <c r="Q465" s="52"/>
      <c r="R465" s="52"/>
      <c r="S465" s="52"/>
      <c r="T465" s="52"/>
    </row>
    <row r="466" spans="4:26" x14ac:dyDescent="0.25">
      <c r="D466" s="137"/>
      <c r="E466" s="82"/>
      <c r="G466" s="131"/>
      <c r="H466" s="138"/>
      <c r="L466" s="142"/>
      <c r="M466" s="101"/>
      <c r="N466" s="52"/>
      <c r="O466" s="52"/>
    </row>
    <row r="467" spans="4:26" x14ac:dyDescent="0.25">
      <c r="E467" s="82"/>
      <c r="L467" s="142"/>
      <c r="M467" s="101"/>
      <c r="N467" s="52"/>
      <c r="O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</row>
    <row r="468" spans="4:26" ht="13.5" customHeight="1" x14ac:dyDescent="0.2">
      <c r="D468" s="108" t="s">
        <v>581</v>
      </c>
      <c r="E468" s="208" t="s">
        <v>147</v>
      </c>
      <c r="F468" s="208"/>
      <c r="I468" s="208" t="s">
        <v>241</v>
      </c>
      <c r="J468" s="208"/>
      <c r="K468" s="208"/>
      <c r="L468" s="208"/>
      <c r="M468" s="139"/>
      <c r="N468" s="99"/>
      <c r="O468" s="99"/>
    </row>
    <row r="469" spans="4:26" ht="13.5" customHeight="1" x14ac:dyDescent="0.2">
      <c r="D469" s="96" t="s">
        <v>578</v>
      </c>
      <c r="E469" s="209" t="s">
        <v>225</v>
      </c>
      <c r="F469" s="209"/>
      <c r="I469" s="209" t="s">
        <v>146</v>
      </c>
      <c r="J469" s="209"/>
      <c r="K469" s="209"/>
      <c r="L469" s="209"/>
      <c r="M469" s="131"/>
      <c r="N469" s="138"/>
      <c r="O469" s="138"/>
    </row>
  </sheetData>
  <sheetProtection sheet="1" objects="1" scenarios="1"/>
  <mergeCells count="36">
    <mergeCell ref="J150:K150"/>
    <mergeCell ref="J210:K210"/>
    <mergeCell ref="J203:K203"/>
    <mergeCell ref="A13:D13"/>
    <mergeCell ref="J92:K92"/>
    <mergeCell ref="J58:K58"/>
    <mergeCell ref="J71:K71"/>
    <mergeCell ref="J96:K96"/>
    <mergeCell ref="J94:K94"/>
    <mergeCell ref="A8:L8"/>
    <mergeCell ref="A9:L9"/>
    <mergeCell ref="A10:L10"/>
    <mergeCell ref="A59:L59"/>
    <mergeCell ref="A31:L31"/>
    <mergeCell ref="A17:L17"/>
    <mergeCell ref="A2:L2"/>
    <mergeCell ref="A3:L3"/>
    <mergeCell ref="A4:L4"/>
    <mergeCell ref="A5:L5"/>
    <mergeCell ref="A7:L7"/>
    <mergeCell ref="E469:F469"/>
    <mergeCell ref="I468:L468"/>
    <mergeCell ref="I469:L469"/>
    <mergeCell ref="J12:L12"/>
    <mergeCell ref="J222:K222"/>
    <mergeCell ref="J219:K219"/>
    <mergeCell ref="J252:K252"/>
    <mergeCell ref="E468:F468"/>
    <mergeCell ref="J204:K204"/>
    <mergeCell ref="J197:K197"/>
    <mergeCell ref="A261:L261"/>
    <mergeCell ref="A154:L154"/>
    <mergeCell ref="J207:K207"/>
    <mergeCell ref="J212:K212"/>
    <mergeCell ref="J196:K196"/>
    <mergeCell ref="J206:K206"/>
  </mergeCells>
  <pageMargins left="0.5" right="0.5" top="0.78740157480314998" bottom="0.75" header="0.31496062992126" footer="0.31496062992126"/>
  <pageSetup paperSize="9" orientation="landscape" r:id="rId1"/>
  <headerFooter>
    <oddFooter>&amp;CPage &amp;P of 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23" sqref="D23"/>
    </sheetView>
  </sheetViews>
  <sheetFormatPr defaultRowHeight="12.75" x14ac:dyDescent="0.2"/>
  <cols>
    <col min="2" max="2" width="15.1640625" style="68" bestFit="1" customWidth="1"/>
    <col min="3" max="3" width="9.33203125" style="68"/>
    <col min="4" max="4" width="15.1640625" style="68" bestFit="1" customWidth="1"/>
  </cols>
  <sheetData>
    <row r="1" spans="1:4" x14ac:dyDescent="0.2">
      <c r="A1">
        <v>10701010</v>
      </c>
      <c r="B1" s="68">
        <f ca="1">SUMIF(GF!$E$23:$H$359,checking!A1,GF!$F$23:$F$359)</f>
        <v>3000000</v>
      </c>
      <c r="C1" s="68">
        <f ca="1">SUMIF(GF!$E$23:$H$359,checking!A1,GF!$G$23:$G$359)</f>
        <v>500000</v>
      </c>
      <c r="D1" s="68">
        <f ca="1">SUMIF(GF!$E$23:$H$359,checking!A1,GF!$H$23:$H$359)</f>
        <v>2500000</v>
      </c>
    </row>
    <row r="2" spans="1:4" x14ac:dyDescent="0.2">
      <c r="A2">
        <v>10702990</v>
      </c>
      <c r="B2" s="68">
        <f ca="1">SUMIF(GF!$E$23:$H$359,checking!A2,GF!$F$23:$F$359)</f>
        <v>16821060</v>
      </c>
      <c r="C2" s="68">
        <f ca="1">SUMIF(GF!$E$23:$H$359,checking!A2,GF!$G$23:$G$359)</f>
        <v>11996393.890000001</v>
      </c>
      <c r="D2" s="68">
        <f ca="1">SUMIF(GF!$E$23:$H$359,checking!A2,GF!$H$23:$H$359)</f>
        <v>4824666.1099999994</v>
      </c>
    </row>
    <row r="3" spans="1:4" x14ac:dyDescent="0.2">
      <c r="A3">
        <v>10703010</v>
      </c>
      <c r="B3" s="68">
        <f ca="1">SUMIF(GF!$E$23:$H$359,checking!A3,GF!$F$23:$F$359)</f>
        <v>5973441.7799999993</v>
      </c>
      <c r="C3" s="68">
        <f ca="1">SUMIF(GF!$E$23:$H$359,checking!A3,GF!$G$23:$G$359)</f>
        <v>1463651.04</v>
      </c>
      <c r="D3" s="68">
        <f ca="1">SUMIF(GF!$E$23:$H$359,checking!A3,GF!$H$23:$H$359)</f>
        <v>4509790.7399999993</v>
      </c>
    </row>
    <row r="4" spans="1:4" x14ac:dyDescent="0.2">
      <c r="A4">
        <v>10703040</v>
      </c>
      <c r="B4" s="68">
        <f ca="1">SUMIF(GF!$E$23:$H$359,checking!A4,GF!$F$23:$F$359)</f>
        <v>26873124.369999997</v>
      </c>
      <c r="C4" s="68">
        <f ca="1">SUMIF(GF!$E$23:$H$359,checking!A4,GF!$G$23:$G$359)</f>
        <v>25415221.739999998</v>
      </c>
      <c r="D4" s="68">
        <f ca="1">SUMIF(GF!$E$23:$H$359,checking!A4,GF!$H$23:$H$359)</f>
        <v>1457902.6299999994</v>
      </c>
    </row>
    <row r="5" spans="1:4" x14ac:dyDescent="0.2">
      <c r="A5">
        <v>10703990</v>
      </c>
      <c r="B5" s="68">
        <f ca="1">SUMIF(GF!$E$23:$H$359,checking!A5,GF!$F$23:$F$359)</f>
        <v>500000</v>
      </c>
      <c r="C5" s="68">
        <f ca="1">SUMIF(GF!$E$23:$H$359,checking!A5,GF!$G$23:$G$359)</f>
        <v>0</v>
      </c>
      <c r="D5" s="68">
        <f ca="1">SUMIF(GF!$E$23:$H$359,checking!A5,GF!$H$23:$H$359)</f>
        <v>500000</v>
      </c>
    </row>
    <row r="6" spans="1:4" x14ac:dyDescent="0.2">
      <c r="A6">
        <v>10704010</v>
      </c>
      <c r="B6" s="68">
        <f ca="1">SUMIF(GF!$E$23:$H$359,checking!A6,GF!$F$23:$F$359)</f>
        <v>34845696.690000005</v>
      </c>
      <c r="C6" s="68">
        <f ca="1">SUMIF(GF!$E$23:$H$359,checking!A6,GF!$G$23:$G$359)</f>
        <v>25729530.030000005</v>
      </c>
      <c r="D6" s="68">
        <f ca="1">SUMIF(GF!$E$23:$H$359,checking!A6,GF!$H$23:$H$359)</f>
        <v>9116166.660000002</v>
      </c>
    </row>
    <row r="7" spans="1:4" x14ac:dyDescent="0.2">
      <c r="A7">
        <v>10704030</v>
      </c>
      <c r="B7" s="68">
        <f ca="1">SUMIF(GF!$E$23:$H$359,checking!A7,GF!$F$23:$F$359)</f>
        <v>2480326.71</v>
      </c>
      <c r="C7" s="68">
        <f ca="1">SUMIF(GF!$E$23:$H$359,checking!A7,GF!$G$23:$G$359)</f>
        <v>354678.06</v>
      </c>
      <c r="D7" s="68">
        <f ca="1">SUMIF(GF!$E$23:$H$359,checking!A7,GF!$H$23:$H$359)</f>
        <v>2125648.65</v>
      </c>
    </row>
    <row r="8" spans="1:4" x14ac:dyDescent="0.2">
      <c r="A8">
        <v>10704990</v>
      </c>
      <c r="B8" s="68">
        <f ca="1">SUMIF(GF!$E$23:$H$359,checking!A8,GF!$F$23:$F$359)</f>
        <v>15188525.299999999</v>
      </c>
      <c r="C8" s="68">
        <f ca="1">SUMIF(GF!$E$23:$H$359,checking!A8,GF!$G$23:$G$359)</f>
        <v>9740153.5099999998</v>
      </c>
      <c r="D8" s="68">
        <f ca="1">SUMIF(GF!$E$23:$H$359,checking!A8,GF!$H$23:$H$359)</f>
        <v>5448371.7899999991</v>
      </c>
    </row>
    <row r="9" spans="1:4" x14ac:dyDescent="0.2">
      <c r="A9">
        <v>10705020</v>
      </c>
      <c r="B9" s="68">
        <f ca="1">SUMIF(GF!$E$23:$H$359,checking!A9,GF!$F$23:$F$359)</f>
        <v>567000</v>
      </c>
      <c r="C9" s="68">
        <f ca="1">SUMIF(GF!$E$23:$H$359,checking!A9,GF!$G$23:$G$359)</f>
        <v>369800</v>
      </c>
      <c r="D9" s="68">
        <f ca="1">SUMIF(GF!$E$23:$H$359,checking!A9,GF!$H$23:$H$359)</f>
        <v>197200</v>
      </c>
    </row>
    <row r="10" spans="1:4" x14ac:dyDescent="0.2">
      <c r="A10">
        <v>10705030</v>
      </c>
      <c r="B10" s="68">
        <f ca="1">SUMIF(GF!$E$23:$H$359,checking!A10,GF!$F$23:$F$359)</f>
        <v>4498398.95</v>
      </c>
      <c r="C10" s="68">
        <f ca="1">SUMIF(GF!$E$23:$H$359,checking!A10,GF!$G$23:$G$359)</f>
        <v>4163740</v>
      </c>
      <c r="D10" s="68">
        <f ca="1">SUMIF(GF!$E$23:$H$359,checking!A10,GF!$H$23:$H$359)</f>
        <v>334658.95000000019</v>
      </c>
    </row>
    <row r="11" spans="1:4" x14ac:dyDescent="0.2">
      <c r="A11">
        <v>10705040</v>
      </c>
      <c r="B11" s="68">
        <f ca="1">SUMIF(GF!$E$23:$H$359,checking!A11,GF!$F$23:$F$359)</f>
        <v>0</v>
      </c>
      <c r="C11" s="68">
        <f ca="1">SUMIF(GF!$E$23:$H$359,checking!A11,GF!$G$23:$G$359)</f>
        <v>0</v>
      </c>
      <c r="D11" s="68">
        <f ca="1">SUMIF(GF!$E$23:$H$359,checking!A11,GF!$H$23:$H$359)</f>
        <v>0</v>
      </c>
    </row>
    <row r="12" spans="1:4" x14ac:dyDescent="0.2">
      <c r="A12">
        <v>10705080</v>
      </c>
      <c r="B12" s="68">
        <f ca="1">SUMIF(GF!$E$23:$H$359,checking!A12,GF!$F$23:$F$359)</f>
        <v>800000</v>
      </c>
      <c r="C12" s="68">
        <f ca="1">SUMIF(GF!$E$23:$H$359,checking!A12,GF!$G$23:$G$359)</f>
        <v>0</v>
      </c>
      <c r="D12" s="68">
        <f ca="1">SUMIF(GF!$E$23:$H$359,checking!A12,GF!$H$23:$H$359)</f>
        <v>800000</v>
      </c>
    </row>
    <row r="13" spans="1:4" x14ac:dyDescent="0.2">
      <c r="A13">
        <v>10705090</v>
      </c>
      <c r="B13" s="68">
        <f ca="1">SUMIF(GF!$E$23:$H$359,checking!A13,GF!$F$23:$F$359)</f>
        <v>2000000</v>
      </c>
      <c r="C13" s="68">
        <f ca="1">SUMIF(GF!$E$23:$H$359,checking!A13,GF!$G$23:$G$359)</f>
        <v>0</v>
      </c>
      <c r="D13" s="68">
        <f ca="1">SUMIF(GF!$E$23:$H$359,checking!A13,GF!$H$23:$H$359)</f>
        <v>2000000</v>
      </c>
    </row>
    <row r="14" spans="1:4" x14ac:dyDescent="0.2">
      <c r="A14">
        <v>10705110</v>
      </c>
      <c r="B14" s="68">
        <f ca="1">SUMIF(GF!$E$23:$H$359,checking!A14,GF!$F$23:$F$359)</f>
        <v>1200000</v>
      </c>
      <c r="C14" s="68">
        <f ca="1">SUMIF(GF!$E$23:$H$359,checking!A14,GF!$G$23:$G$359)</f>
        <v>749955</v>
      </c>
      <c r="D14" s="68">
        <f ca="1">SUMIF(GF!$E$23:$H$359,checking!A14,GF!$H$23:$H$359)</f>
        <v>450045</v>
      </c>
    </row>
    <row r="15" spans="1:4" x14ac:dyDescent="0.2">
      <c r="A15">
        <v>10705140</v>
      </c>
      <c r="B15" s="68">
        <f ca="1">SUMIF(GF!$E$23:$H$359,checking!A15,GF!$F$23:$F$359)</f>
        <v>0</v>
      </c>
      <c r="C15" s="68">
        <f ca="1">SUMIF(GF!$E$23:$H$359,checking!A15,GF!$G$23:$G$359)</f>
        <v>0</v>
      </c>
      <c r="D15" s="68">
        <f ca="1">SUMIF(GF!$E$23:$H$359,checking!A15,GF!$H$23:$H$359)</f>
        <v>0</v>
      </c>
    </row>
    <row r="16" spans="1:4" x14ac:dyDescent="0.2">
      <c r="A16">
        <v>10705990</v>
      </c>
      <c r="B16" s="68">
        <f ca="1">SUMIF(GF!$E$23:$H$359,checking!A16,GF!$F$23:$F$359)</f>
        <v>209000</v>
      </c>
      <c r="C16" s="68">
        <f ca="1">SUMIF(GF!$E$23:$H$359,checking!A16,GF!$G$23:$G$359)</f>
        <v>0</v>
      </c>
      <c r="D16" s="68">
        <f ca="1">SUMIF(GF!$E$23:$H$359,checking!A16,GF!$H$23:$H$359)</f>
        <v>209000</v>
      </c>
    </row>
    <row r="17" spans="1:4" x14ac:dyDescent="0.2">
      <c r="A17">
        <v>10706010</v>
      </c>
      <c r="B17" s="68">
        <f ca="1">SUMIF(GF!$E$23:$H$359,checking!A17,GF!$F$23:$F$359)</f>
        <v>2730000</v>
      </c>
      <c r="C17" s="68">
        <f ca="1">SUMIF(GF!$E$23:$H$359,checking!A17,GF!$G$23:$G$359)</f>
        <v>2700000</v>
      </c>
      <c r="D17" s="68">
        <f ca="1">SUMIF(GF!$E$23:$H$359,checking!A17,GF!$H$23:$H$359)</f>
        <v>30000</v>
      </c>
    </row>
    <row r="18" spans="1:4" x14ac:dyDescent="0.2">
      <c r="A18">
        <v>10707010</v>
      </c>
      <c r="B18" s="68">
        <f ca="1">SUMIF(GF!$E$23:$H$359,checking!A18,GF!$F$23:$F$359)</f>
        <v>755012.51999999955</v>
      </c>
      <c r="C18" s="68">
        <f ca="1">SUMIF(GF!$E$23:$H$359,checking!A18,GF!$G$23:$G$359)</f>
        <v>595456.81000000006</v>
      </c>
      <c r="D18" s="68">
        <f ca="1">SUMIF(GF!$E$23:$H$359,checking!A18,GF!$H$23:$H$359)</f>
        <v>159555.71000000002</v>
      </c>
    </row>
    <row r="19" spans="1:4" x14ac:dyDescent="0.2">
      <c r="A19">
        <v>10799990</v>
      </c>
      <c r="B19" s="68">
        <f ca="1">SUMIF(GF!$E$23:$H$359,checking!A19,GF!$F$23:$F$359)</f>
        <v>313840</v>
      </c>
      <c r="C19" s="68">
        <f ca="1">SUMIF(GF!$E$23:$H$359,checking!A19,GF!$G$23:$G$359)</f>
        <v>157131.71</v>
      </c>
      <c r="D19" s="68">
        <f ca="1">SUMIF(GF!$E$23:$H$359,checking!A19,GF!$H$23:$H$359)</f>
        <v>156708.29</v>
      </c>
    </row>
    <row r="20" spans="1:4" x14ac:dyDescent="0.2">
      <c r="B20" s="68">
        <f ca="1">SUM(B1:B19)</f>
        <v>118755426.31999999</v>
      </c>
      <c r="C20" s="68">
        <f ca="1">SUM(C1:C19)</f>
        <v>83935711.790000007</v>
      </c>
      <c r="D20" s="68">
        <f ca="1">SUM(D1:D19)</f>
        <v>34819714.530000001</v>
      </c>
    </row>
    <row r="21" spans="1:4" x14ac:dyDescent="0.2">
      <c r="B21" s="68">
        <v>137397476.83000001</v>
      </c>
      <c r="D21" s="68">
        <v>137397476.83000001</v>
      </c>
    </row>
    <row r="22" spans="1:4" x14ac:dyDescent="0.2">
      <c r="B22" s="68">
        <f ca="1">+B21-B20</f>
        <v>18642050.51000002</v>
      </c>
      <c r="D22" s="68">
        <f ca="1">+D21-D20</f>
        <v>102577762.30000001</v>
      </c>
    </row>
  </sheetData>
  <sheetProtection sheet="1" objects="1" scenarios="1"/>
  <sortState ref="A2:A346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3"/>
  <sheetViews>
    <sheetView topLeftCell="A31" workbookViewId="0">
      <selection activeCell="F16" sqref="F16:Q57"/>
    </sheetView>
  </sheetViews>
  <sheetFormatPr defaultRowHeight="12.75" x14ac:dyDescent="0.2"/>
  <cols>
    <col min="1" max="1" width="2.6640625" style="31" customWidth="1"/>
    <col min="2" max="2" width="5.33203125" style="31" customWidth="1"/>
    <col min="3" max="3" width="8.1640625" style="31" customWidth="1"/>
    <col min="4" max="4" width="60.83203125" style="31" customWidth="1"/>
    <col min="5" max="5" width="7.5" style="31" customWidth="1"/>
    <col min="6" max="6" width="14.1640625" style="31" customWidth="1"/>
    <col min="7" max="7" width="14.6640625" style="31" customWidth="1"/>
    <col min="8" max="8" width="15.5" style="31" customWidth="1"/>
    <col min="9" max="9" width="1.1640625" style="31" customWidth="1"/>
    <col min="10" max="10" width="9.33203125" style="31"/>
    <col min="11" max="11" width="15.5" style="31" customWidth="1"/>
    <col min="12" max="12" width="0" style="31" hidden="1" customWidth="1"/>
    <col min="13" max="13" width="12.83203125" style="31" hidden="1" customWidth="1"/>
    <col min="14" max="14" width="9.83203125" style="31" hidden="1" customWidth="1"/>
    <col min="15" max="15" width="0" style="31" hidden="1" customWidth="1"/>
    <col min="16" max="16" width="9.83203125" style="31" bestFit="1" customWidth="1"/>
    <col min="17" max="16384" width="9.33203125" style="31"/>
  </cols>
  <sheetData>
    <row r="2" spans="1:22" x14ac:dyDescent="0.2">
      <c r="A2" s="206" t="s">
        <v>63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30"/>
      <c r="M2" s="30"/>
    </row>
    <row r="3" spans="1:22" x14ac:dyDescent="0.2">
      <c r="A3" s="206" t="s">
        <v>64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30"/>
      <c r="M3" s="30"/>
    </row>
    <row r="4" spans="1:22" x14ac:dyDescent="0.2">
      <c r="A4" s="205" t="s">
        <v>65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32"/>
      <c r="M4" s="32"/>
    </row>
    <row r="5" spans="1:22" x14ac:dyDescent="0.2">
      <c r="A5" s="61"/>
      <c r="B5" s="61"/>
      <c r="C5" s="61"/>
      <c r="D5" s="61"/>
      <c r="E5" s="61"/>
      <c r="F5" s="33"/>
      <c r="G5" s="33"/>
      <c r="H5" s="33"/>
      <c r="I5" s="61"/>
      <c r="J5" s="32"/>
      <c r="K5" s="32"/>
      <c r="P5" s="65"/>
      <c r="Q5" s="31" t="s">
        <v>217</v>
      </c>
    </row>
    <row r="6" spans="1:22" x14ac:dyDescent="0.2">
      <c r="A6" s="206" t="s">
        <v>66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30"/>
      <c r="M6" s="30"/>
      <c r="P6" s="66"/>
      <c r="Q6" s="31" t="s">
        <v>205</v>
      </c>
    </row>
    <row r="7" spans="1:22" x14ac:dyDescent="0.2">
      <c r="A7" s="207" t="s">
        <v>67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58"/>
      <c r="M7" s="58"/>
    </row>
    <row r="8" spans="1:22" x14ac:dyDescent="0.2">
      <c r="A8" s="214" t="s">
        <v>69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57"/>
      <c r="M8" s="57"/>
      <c r="N8" s="57"/>
      <c r="O8" s="57"/>
      <c r="P8" s="57"/>
    </row>
    <row r="9" spans="1:22" x14ac:dyDescent="0.2">
      <c r="A9" s="206" t="s">
        <v>218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30"/>
      <c r="M9" s="30"/>
    </row>
    <row r="11" spans="1:22" ht="13.5" x14ac:dyDescent="0.25">
      <c r="A11" s="34"/>
      <c r="B11" s="34"/>
      <c r="C11" s="34"/>
      <c r="D11" s="34"/>
      <c r="E11" s="35"/>
      <c r="F11" s="36"/>
      <c r="G11" s="36"/>
      <c r="H11" s="37" t="s">
        <v>75</v>
      </c>
      <c r="I11" s="38"/>
      <c r="J11" s="39" t="s">
        <v>76</v>
      </c>
      <c r="K11" s="39"/>
    </row>
    <row r="12" spans="1:22" ht="13.5" x14ac:dyDescent="0.25">
      <c r="A12" s="226" t="s">
        <v>71</v>
      </c>
      <c r="B12" s="226"/>
      <c r="C12" s="226"/>
      <c r="D12" s="226"/>
      <c r="E12" s="40" t="s">
        <v>72</v>
      </c>
      <c r="F12" s="41" t="s">
        <v>73</v>
      </c>
      <c r="G12" s="41" t="s">
        <v>74</v>
      </c>
      <c r="H12" s="41" t="s">
        <v>73</v>
      </c>
      <c r="I12" s="42"/>
      <c r="J12" s="43" t="s">
        <v>77</v>
      </c>
      <c r="K12" s="43" t="s">
        <v>78</v>
      </c>
      <c r="M12" s="31" t="s">
        <v>206</v>
      </c>
      <c r="N12" s="31" t="s">
        <v>207</v>
      </c>
      <c r="O12" s="31" t="s">
        <v>208</v>
      </c>
      <c r="P12" s="31" t="s">
        <v>209</v>
      </c>
      <c r="Q12" s="31" t="s">
        <v>210</v>
      </c>
      <c r="R12" s="31" t="s">
        <v>211</v>
      </c>
      <c r="S12" s="31" t="s">
        <v>212</v>
      </c>
      <c r="T12" s="31" t="s">
        <v>213</v>
      </c>
      <c r="U12" s="31" t="s">
        <v>214</v>
      </c>
    </row>
    <row r="14" spans="1:22" s="34" customFormat="1" ht="12" customHeight="1" x14ac:dyDescent="0.25">
      <c r="A14" s="44" t="s">
        <v>119</v>
      </c>
      <c r="B14" s="44" t="s">
        <v>135</v>
      </c>
      <c r="C14" s="44"/>
      <c r="D14" s="44"/>
      <c r="E14" s="45">
        <v>9940</v>
      </c>
      <c r="F14" s="46">
        <f>SUM(F15:F57)</f>
        <v>15733715.640000001</v>
      </c>
      <c r="G14" s="46">
        <f>SUM(G15:G57)</f>
        <v>1094662.53</v>
      </c>
      <c r="H14" s="46">
        <f>SUM(H15:H57)</f>
        <v>14639053.110000001</v>
      </c>
      <c r="I14" s="47"/>
      <c r="L14" s="60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s="34" customFormat="1" x14ac:dyDescent="0.25">
      <c r="A15" s="44"/>
      <c r="C15" s="34" t="s">
        <v>79</v>
      </c>
      <c r="E15" s="48">
        <v>10701010</v>
      </c>
      <c r="F15" s="49"/>
      <c r="G15" s="49"/>
      <c r="H15" s="49"/>
      <c r="M15" s="36"/>
      <c r="N15" s="36"/>
      <c r="O15" s="53"/>
      <c r="P15" s="36"/>
      <c r="Q15" s="36"/>
      <c r="R15" s="36"/>
      <c r="S15" s="36"/>
      <c r="T15" s="36"/>
      <c r="U15" s="36"/>
      <c r="V15" s="36"/>
    </row>
    <row r="16" spans="1:22" s="34" customFormat="1" x14ac:dyDescent="0.25">
      <c r="A16" s="34" t="s">
        <v>47</v>
      </c>
      <c r="F16" s="36">
        <v>55000</v>
      </c>
      <c r="G16" s="67">
        <f>SUM(L16:V16)</f>
        <v>0</v>
      </c>
      <c r="H16" s="36">
        <f t="shared" ref="H16:H57" si="0">F16-G16</f>
        <v>55000</v>
      </c>
      <c r="J16" s="34" t="s">
        <v>94</v>
      </c>
      <c r="M16" s="36"/>
      <c r="N16" s="36"/>
      <c r="O16" s="53"/>
      <c r="P16" s="36"/>
      <c r="Q16" s="36"/>
      <c r="R16" s="36"/>
      <c r="S16" s="36"/>
      <c r="T16" s="36"/>
      <c r="U16" s="36"/>
      <c r="V16" s="36"/>
    </row>
    <row r="17" spans="1:22" s="34" customFormat="1" x14ac:dyDescent="0.25">
      <c r="A17" s="34" t="s">
        <v>48</v>
      </c>
      <c r="E17" s="48"/>
      <c r="F17" s="36">
        <v>100000</v>
      </c>
      <c r="G17" s="67">
        <f>SUM(L17:V17)</f>
        <v>0</v>
      </c>
      <c r="H17" s="36">
        <f t="shared" si="0"/>
        <v>100000</v>
      </c>
      <c r="J17" s="34" t="s">
        <v>95</v>
      </c>
      <c r="M17" s="36"/>
      <c r="N17" s="36"/>
      <c r="O17" s="53"/>
      <c r="P17" s="36"/>
      <c r="Q17" s="36"/>
      <c r="R17" s="36"/>
      <c r="S17" s="36"/>
      <c r="T17" s="36"/>
      <c r="U17" s="36"/>
      <c r="V17" s="36"/>
    </row>
    <row r="18" spans="1:22" s="34" customFormat="1" x14ac:dyDescent="0.25">
      <c r="C18" s="34" t="s">
        <v>80</v>
      </c>
      <c r="E18" s="48">
        <v>10702990</v>
      </c>
      <c r="F18" s="36"/>
      <c r="G18" s="36"/>
      <c r="H18" s="36"/>
      <c r="M18" s="36"/>
      <c r="N18" s="36"/>
      <c r="O18" s="53"/>
      <c r="P18" s="36"/>
      <c r="Q18" s="36"/>
      <c r="R18" s="36"/>
      <c r="S18" s="36"/>
      <c r="T18" s="36"/>
      <c r="U18" s="36"/>
      <c r="V18" s="36"/>
    </row>
    <row r="19" spans="1:22" s="34" customFormat="1" x14ac:dyDescent="0.25">
      <c r="A19" s="34" t="s">
        <v>49</v>
      </c>
      <c r="F19" s="36">
        <v>837282.77</v>
      </c>
      <c r="G19" s="67">
        <f>SUM(L19:V19)</f>
        <v>458311.73</v>
      </c>
      <c r="H19" s="36">
        <f t="shared" si="0"/>
        <v>378971.04000000004</v>
      </c>
      <c r="K19" s="60" t="s">
        <v>96</v>
      </c>
      <c r="L19" s="36">
        <v>23904</v>
      </c>
      <c r="M19" s="36">
        <v>72428.460000000006</v>
      </c>
      <c r="N19" s="36">
        <v>270663.34999999998</v>
      </c>
      <c r="O19" s="53">
        <v>52632.04</v>
      </c>
      <c r="P19" s="36">
        <v>18822.099999999999</v>
      </c>
      <c r="Q19" s="36">
        <v>19861.78</v>
      </c>
      <c r="R19" s="36"/>
      <c r="S19" s="36"/>
      <c r="T19" s="36"/>
      <c r="U19" s="36"/>
      <c r="V19" s="36"/>
    </row>
    <row r="20" spans="1:22" s="34" customFormat="1" x14ac:dyDescent="0.25">
      <c r="C20" s="34" t="s">
        <v>82</v>
      </c>
      <c r="E20" s="48">
        <v>10703010</v>
      </c>
      <c r="F20" s="36"/>
      <c r="G20" s="36"/>
      <c r="H20" s="36"/>
      <c r="L20" s="36"/>
      <c r="M20" s="36"/>
      <c r="N20" s="36"/>
      <c r="O20" s="53"/>
      <c r="P20" s="36"/>
      <c r="Q20" s="36"/>
      <c r="R20" s="36"/>
      <c r="S20" s="36"/>
      <c r="T20" s="36"/>
      <c r="U20" s="36"/>
      <c r="V20" s="36"/>
    </row>
    <row r="21" spans="1:22" s="34" customFormat="1" x14ac:dyDescent="0.25">
      <c r="A21" s="34" t="s">
        <v>50</v>
      </c>
      <c r="F21" s="36">
        <v>425423.95</v>
      </c>
      <c r="G21" s="63">
        <f>SUM(L21:V21)</f>
        <v>291024.8</v>
      </c>
      <c r="H21" s="36">
        <f t="shared" si="0"/>
        <v>134399.15000000002</v>
      </c>
      <c r="J21" s="62" t="s">
        <v>216</v>
      </c>
      <c r="L21" s="36">
        <v>131085.51999999999</v>
      </c>
      <c r="M21" s="36">
        <v>58011.360000000001</v>
      </c>
      <c r="N21" s="36">
        <v>97728.05</v>
      </c>
      <c r="O21" s="53">
        <v>4199.87</v>
      </c>
      <c r="P21" s="36"/>
      <c r="Q21" s="36"/>
      <c r="R21" s="36"/>
      <c r="S21" s="36"/>
      <c r="T21" s="36"/>
      <c r="U21" s="36"/>
      <c r="V21" s="36"/>
    </row>
    <row r="22" spans="1:22" s="34" customFormat="1" x14ac:dyDescent="0.25">
      <c r="A22" s="34" t="s">
        <v>51</v>
      </c>
      <c r="E22" s="48"/>
      <c r="F22" s="36">
        <v>110216.37</v>
      </c>
      <c r="G22" s="63">
        <f>SUM(L22:V22)</f>
        <v>0</v>
      </c>
      <c r="H22" s="36">
        <f t="shared" si="0"/>
        <v>110216.37</v>
      </c>
      <c r="J22" s="34" t="s">
        <v>156</v>
      </c>
      <c r="M22" s="36"/>
      <c r="N22" s="36"/>
      <c r="O22" s="53"/>
      <c r="P22" s="36"/>
      <c r="Q22" s="36"/>
      <c r="R22" s="36"/>
      <c r="S22" s="36"/>
      <c r="T22" s="36"/>
      <c r="U22" s="36"/>
      <c r="V22" s="36"/>
    </row>
    <row r="23" spans="1:22" s="34" customFormat="1" x14ac:dyDescent="0.25">
      <c r="C23" s="34" t="s">
        <v>81</v>
      </c>
      <c r="E23" s="48"/>
      <c r="F23" s="36"/>
      <c r="G23" s="36"/>
      <c r="H23" s="36"/>
      <c r="M23" s="36"/>
      <c r="N23" s="36"/>
      <c r="O23" s="53"/>
      <c r="P23" s="36"/>
      <c r="Q23" s="36"/>
      <c r="R23" s="36"/>
      <c r="S23" s="36"/>
      <c r="T23" s="36"/>
      <c r="U23" s="36"/>
      <c r="V23" s="36"/>
    </row>
    <row r="24" spans="1:22" s="34" customFormat="1" x14ac:dyDescent="0.25">
      <c r="A24" s="34" t="s">
        <v>52</v>
      </c>
      <c r="E24" s="48">
        <v>10704010</v>
      </c>
      <c r="F24" s="36">
        <v>500000</v>
      </c>
      <c r="G24" s="67">
        <f>SUM(L24:V24)</f>
        <v>0</v>
      </c>
      <c r="H24" s="36">
        <f t="shared" si="0"/>
        <v>500000</v>
      </c>
      <c r="J24" s="34" t="s">
        <v>98</v>
      </c>
      <c r="M24" s="36"/>
      <c r="N24" s="36"/>
      <c r="O24" s="53"/>
      <c r="P24" s="36"/>
      <c r="Q24" s="36"/>
      <c r="R24" s="36"/>
      <c r="S24" s="36"/>
      <c r="T24" s="36"/>
      <c r="U24" s="36"/>
      <c r="V24" s="36"/>
    </row>
    <row r="25" spans="1:22" s="34" customFormat="1" x14ac:dyDescent="0.25">
      <c r="A25" s="34" t="s">
        <v>91</v>
      </c>
      <c r="E25" s="48" t="s">
        <v>0</v>
      </c>
      <c r="F25" s="36">
        <v>3000000</v>
      </c>
      <c r="G25" s="67">
        <f>SUM(L25:V25)</f>
        <v>0</v>
      </c>
      <c r="H25" s="36">
        <f>F25-G25</f>
        <v>3000000</v>
      </c>
      <c r="K25" s="60" t="s">
        <v>96</v>
      </c>
      <c r="M25" s="36"/>
      <c r="N25" s="36"/>
      <c r="O25" s="53"/>
      <c r="P25" s="36"/>
      <c r="Q25" s="36"/>
      <c r="R25" s="36"/>
      <c r="S25" s="36"/>
      <c r="T25" s="36"/>
      <c r="U25" s="36"/>
      <c r="V25" s="36"/>
    </row>
    <row r="26" spans="1:22" s="34" customFormat="1" x14ac:dyDescent="0.25">
      <c r="C26" s="34" t="s">
        <v>83</v>
      </c>
      <c r="E26" s="48">
        <v>10704990</v>
      </c>
      <c r="F26" s="36"/>
      <c r="G26" s="36"/>
      <c r="H26" s="36"/>
      <c r="M26" s="36"/>
      <c r="N26" s="36"/>
      <c r="O26" s="53"/>
      <c r="P26" s="36"/>
      <c r="Q26" s="36"/>
      <c r="R26" s="36"/>
      <c r="S26" s="36"/>
      <c r="T26" s="36"/>
      <c r="U26" s="36"/>
      <c r="V26" s="36"/>
    </row>
    <row r="27" spans="1:22" s="34" customFormat="1" x14ac:dyDescent="0.25">
      <c r="A27" s="34" t="s">
        <v>53</v>
      </c>
      <c r="F27" s="36">
        <v>1672764.71</v>
      </c>
      <c r="G27" s="67">
        <f>SUM(L27:V27)</f>
        <v>0</v>
      </c>
      <c r="H27" s="36">
        <f t="shared" si="0"/>
        <v>1672764.71</v>
      </c>
      <c r="K27" s="51" t="s">
        <v>102</v>
      </c>
      <c r="M27" s="36"/>
      <c r="N27" s="36"/>
      <c r="O27" s="53"/>
      <c r="P27" s="36"/>
      <c r="Q27" s="36"/>
      <c r="R27" s="36"/>
      <c r="S27" s="36"/>
      <c r="T27" s="36"/>
      <c r="U27" s="36"/>
      <c r="V27" s="36"/>
    </row>
    <row r="28" spans="1:22" s="34" customFormat="1" x14ac:dyDescent="0.25">
      <c r="A28" s="34" t="s">
        <v>54</v>
      </c>
      <c r="E28" s="48"/>
      <c r="F28" s="36">
        <v>68165.77</v>
      </c>
      <c r="G28" s="63">
        <f>SUM(L28:V28)</f>
        <v>0</v>
      </c>
      <c r="H28" s="36">
        <f t="shared" si="0"/>
        <v>68165.77</v>
      </c>
      <c r="J28" s="34" t="s">
        <v>203</v>
      </c>
      <c r="M28" s="36"/>
      <c r="N28" s="36"/>
      <c r="O28" s="53"/>
      <c r="P28" s="36"/>
      <c r="Q28" s="36"/>
      <c r="R28" s="36"/>
      <c r="S28" s="36"/>
      <c r="T28" s="36"/>
      <c r="U28" s="36"/>
      <c r="V28" s="36"/>
    </row>
    <row r="29" spans="1:22" s="34" customFormat="1" x14ac:dyDescent="0.25">
      <c r="A29" s="34" t="s">
        <v>55</v>
      </c>
      <c r="E29" s="48"/>
      <c r="F29" s="36">
        <v>218199.98</v>
      </c>
      <c r="G29" s="63">
        <f>SUM(L29:V29)</f>
        <v>0</v>
      </c>
      <c r="H29" s="36">
        <f t="shared" si="0"/>
        <v>218199.98</v>
      </c>
      <c r="J29" s="34" t="s">
        <v>157</v>
      </c>
      <c r="M29" s="36"/>
      <c r="N29" s="36"/>
      <c r="O29" s="53"/>
      <c r="P29" s="36"/>
      <c r="Q29" s="36"/>
      <c r="R29" s="36"/>
      <c r="S29" s="36"/>
      <c r="T29" s="36"/>
      <c r="U29" s="36"/>
      <c r="V29" s="36"/>
    </row>
    <row r="30" spans="1:22" s="34" customFormat="1" x14ac:dyDescent="0.25">
      <c r="A30" s="34" t="s">
        <v>92</v>
      </c>
      <c r="E30" s="48"/>
      <c r="F30" s="36">
        <v>10696.16</v>
      </c>
      <c r="G30" s="63">
        <f>SUM(L30:V30)</f>
        <v>0</v>
      </c>
      <c r="H30" s="36">
        <f t="shared" si="0"/>
        <v>10696.16</v>
      </c>
      <c r="J30" s="34" t="s">
        <v>204</v>
      </c>
      <c r="M30" s="36"/>
      <c r="N30" s="36"/>
      <c r="O30" s="53"/>
      <c r="P30" s="36"/>
      <c r="Q30" s="36"/>
      <c r="R30" s="36"/>
      <c r="S30" s="36"/>
      <c r="T30" s="36"/>
      <c r="U30" s="36"/>
      <c r="V30" s="36"/>
    </row>
    <row r="31" spans="1:22" s="34" customFormat="1" x14ac:dyDescent="0.25">
      <c r="A31" s="34" t="s">
        <v>151</v>
      </c>
      <c r="E31" s="48"/>
      <c r="F31" s="36"/>
      <c r="G31" s="36"/>
      <c r="H31" s="36"/>
      <c r="J31" s="34" t="s">
        <v>98</v>
      </c>
      <c r="M31" s="36"/>
      <c r="N31" s="36"/>
      <c r="O31" s="53"/>
      <c r="P31" s="36"/>
      <c r="Q31" s="36"/>
      <c r="R31" s="36"/>
      <c r="S31" s="36"/>
      <c r="T31" s="36"/>
      <c r="U31" s="36"/>
      <c r="V31" s="36"/>
    </row>
    <row r="32" spans="1:22" s="34" customFormat="1" x14ac:dyDescent="0.25">
      <c r="A32" s="34" t="s">
        <v>152</v>
      </c>
      <c r="E32" s="48"/>
      <c r="F32" s="36">
        <v>368218.82</v>
      </c>
      <c r="G32" s="67">
        <f>SUM(L32:V32)</f>
        <v>239855</v>
      </c>
      <c r="H32" s="36">
        <f t="shared" si="0"/>
        <v>128363.82</v>
      </c>
      <c r="J32" s="34" t="s">
        <v>101</v>
      </c>
      <c r="N32" s="36">
        <v>202125</v>
      </c>
      <c r="O32" s="53">
        <v>37730</v>
      </c>
      <c r="P32" s="36"/>
      <c r="Q32" s="36"/>
      <c r="R32" s="36"/>
      <c r="S32" s="36"/>
      <c r="T32" s="36"/>
      <c r="U32" s="36"/>
      <c r="V32" s="36"/>
    </row>
    <row r="33" spans="1:22" s="34" customFormat="1" x14ac:dyDescent="0.25">
      <c r="A33" s="34" t="s">
        <v>93</v>
      </c>
      <c r="E33" s="48"/>
      <c r="F33" s="36">
        <v>0</v>
      </c>
      <c r="G33" s="64">
        <f>SUM(L33:V33)</f>
        <v>0</v>
      </c>
      <c r="H33" s="36">
        <f t="shared" si="0"/>
        <v>0</v>
      </c>
      <c r="J33" s="227" t="s">
        <v>172</v>
      </c>
      <c r="K33" s="227"/>
      <c r="M33" s="36"/>
      <c r="N33" s="36"/>
      <c r="O33" s="53"/>
      <c r="P33" s="36"/>
      <c r="Q33" s="36"/>
      <c r="R33" s="36"/>
      <c r="S33" s="36"/>
      <c r="T33" s="36"/>
      <c r="U33" s="36"/>
      <c r="V33" s="36"/>
    </row>
    <row r="34" spans="1:22" s="34" customFormat="1" x14ac:dyDescent="0.25">
      <c r="E34" s="48"/>
      <c r="F34" s="36"/>
      <c r="G34" s="36"/>
      <c r="H34" s="36"/>
      <c r="J34" s="227"/>
      <c r="K34" s="227"/>
      <c r="M34" s="36"/>
      <c r="N34" s="36"/>
      <c r="O34" s="53"/>
      <c r="P34" s="36"/>
      <c r="Q34" s="36"/>
      <c r="R34" s="36"/>
      <c r="S34" s="36"/>
      <c r="T34" s="36"/>
      <c r="U34" s="36"/>
      <c r="V34" s="36"/>
    </row>
    <row r="35" spans="1:22" s="34" customFormat="1" x14ac:dyDescent="0.25">
      <c r="A35" s="34" t="s">
        <v>56</v>
      </c>
      <c r="E35" s="48"/>
      <c r="F35" s="36">
        <v>703010.61</v>
      </c>
      <c r="G35" s="63">
        <f>SUM(L35:V35)</f>
        <v>0</v>
      </c>
      <c r="H35" s="36">
        <f t="shared" si="0"/>
        <v>703010.61</v>
      </c>
      <c r="J35" s="34" t="s">
        <v>173</v>
      </c>
      <c r="M35" s="36"/>
      <c r="N35" s="36"/>
      <c r="O35" s="53"/>
      <c r="P35" s="36"/>
      <c r="Q35" s="36"/>
      <c r="R35" s="36"/>
      <c r="S35" s="36"/>
      <c r="T35" s="36"/>
      <c r="U35" s="36"/>
      <c r="V35" s="36"/>
    </row>
    <row r="36" spans="1:22" s="34" customFormat="1" ht="12" customHeight="1" x14ac:dyDescent="0.25">
      <c r="E36" s="48"/>
      <c r="F36" s="36"/>
      <c r="G36" s="36"/>
      <c r="H36" s="36"/>
      <c r="J36" s="60"/>
      <c r="M36" s="36"/>
      <c r="N36" s="36"/>
      <c r="O36" s="53"/>
      <c r="P36" s="36"/>
      <c r="Q36" s="36"/>
      <c r="R36" s="36"/>
      <c r="S36" s="36"/>
      <c r="T36" s="36"/>
      <c r="U36" s="36"/>
      <c r="V36" s="36"/>
    </row>
    <row r="37" spans="1:22" s="34" customFormat="1" x14ac:dyDescent="0.25">
      <c r="C37" s="34" t="s">
        <v>84</v>
      </c>
      <c r="E37" s="48"/>
      <c r="F37" s="36"/>
      <c r="G37" s="36"/>
      <c r="H37" s="36"/>
      <c r="M37" s="36"/>
      <c r="N37" s="36"/>
      <c r="O37" s="53"/>
      <c r="P37" s="36"/>
      <c r="Q37" s="36"/>
      <c r="R37" s="36"/>
      <c r="S37" s="36"/>
      <c r="T37" s="36"/>
      <c r="U37" s="36"/>
      <c r="V37" s="36"/>
    </row>
    <row r="38" spans="1:22" s="34" customFormat="1" x14ac:dyDescent="0.25">
      <c r="A38" s="34" t="s">
        <v>57</v>
      </c>
      <c r="E38" s="48">
        <v>10705030</v>
      </c>
      <c r="F38" s="36">
        <v>230300</v>
      </c>
      <c r="G38" s="67">
        <f>SUM(L38:V38)</f>
        <v>0</v>
      </c>
      <c r="H38" s="36">
        <f t="shared" si="0"/>
        <v>230300</v>
      </c>
      <c r="J38" s="34" t="s">
        <v>98</v>
      </c>
      <c r="M38" s="36"/>
      <c r="N38" s="36"/>
      <c r="O38" s="53"/>
      <c r="P38" s="36"/>
      <c r="Q38" s="36"/>
      <c r="R38" s="36"/>
      <c r="S38" s="36"/>
      <c r="T38" s="36"/>
      <c r="U38" s="36"/>
      <c r="V38" s="36"/>
    </row>
    <row r="39" spans="1:22" s="34" customFormat="1" x14ac:dyDescent="0.25">
      <c r="C39" s="34" t="s">
        <v>86</v>
      </c>
      <c r="E39" s="48"/>
      <c r="F39" s="36"/>
      <c r="G39" s="36"/>
      <c r="H39" s="36"/>
      <c r="M39" s="36"/>
      <c r="N39" s="36"/>
      <c r="O39" s="53"/>
      <c r="P39" s="36"/>
      <c r="Q39" s="36"/>
      <c r="R39" s="36"/>
      <c r="S39" s="36"/>
      <c r="T39" s="36"/>
      <c r="U39" s="36"/>
      <c r="V39" s="36"/>
    </row>
    <row r="40" spans="1:22" s="34" customFormat="1" x14ac:dyDescent="0.25">
      <c r="A40" s="34" t="s">
        <v>85</v>
      </c>
      <c r="E40" s="48">
        <v>10705040</v>
      </c>
      <c r="F40" s="36">
        <v>627297.5</v>
      </c>
      <c r="G40" s="67">
        <f>SUM(L40:V40)</f>
        <v>105471</v>
      </c>
      <c r="H40" s="36">
        <f t="shared" si="0"/>
        <v>521826.5</v>
      </c>
      <c r="J40" s="34" t="s">
        <v>97</v>
      </c>
      <c r="M40" s="36"/>
      <c r="N40" s="36"/>
      <c r="O40" s="53"/>
      <c r="P40" s="36">
        <v>105471</v>
      </c>
      <c r="Q40" s="36"/>
      <c r="R40" s="36"/>
      <c r="S40" s="36"/>
      <c r="T40" s="36"/>
      <c r="U40" s="36"/>
      <c r="V40" s="36"/>
    </row>
    <row r="41" spans="1:22" s="34" customFormat="1" x14ac:dyDescent="0.25">
      <c r="C41" s="34" t="s">
        <v>87</v>
      </c>
      <c r="E41" s="48">
        <v>10705090</v>
      </c>
      <c r="F41" s="36"/>
      <c r="G41" s="36"/>
      <c r="H41" s="36"/>
      <c r="M41" s="36"/>
      <c r="N41" s="36"/>
      <c r="O41" s="53"/>
      <c r="P41" s="36"/>
      <c r="Q41" s="36"/>
      <c r="R41" s="36"/>
      <c r="S41" s="36"/>
      <c r="T41" s="36"/>
      <c r="U41" s="36"/>
      <c r="V41" s="36"/>
    </row>
    <row r="42" spans="1:22" s="34" customFormat="1" x14ac:dyDescent="0.25">
      <c r="A42" s="34" t="s">
        <v>58</v>
      </c>
      <c r="F42" s="36">
        <v>350000</v>
      </c>
      <c r="G42" s="67">
        <f>SUM(L42:V42)</f>
        <v>0</v>
      </c>
      <c r="H42" s="36">
        <f t="shared" si="0"/>
        <v>350000</v>
      </c>
      <c r="J42" s="34" t="s">
        <v>97</v>
      </c>
      <c r="M42" s="36"/>
      <c r="N42" s="36"/>
      <c r="O42" s="53"/>
      <c r="P42" s="36"/>
      <c r="Q42" s="36"/>
      <c r="R42" s="36"/>
      <c r="S42" s="36"/>
      <c r="T42" s="36"/>
      <c r="U42" s="36"/>
      <c r="V42" s="36"/>
    </row>
    <row r="43" spans="1:22" s="34" customFormat="1" x14ac:dyDescent="0.25">
      <c r="A43" s="34" t="s">
        <v>153</v>
      </c>
      <c r="E43" s="48"/>
      <c r="F43" s="36">
        <v>63561</v>
      </c>
      <c r="G43" s="67">
        <f>SUM(L43:V43)</f>
        <v>0</v>
      </c>
      <c r="H43" s="36">
        <f t="shared" si="0"/>
        <v>63561</v>
      </c>
      <c r="J43" s="34" t="s">
        <v>94</v>
      </c>
      <c r="M43" s="36"/>
      <c r="N43" s="36"/>
      <c r="O43" s="53"/>
      <c r="P43" s="36"/>
      <c r="Q43" s="36"/>
      <c r="R43" s="36"/>
      <c r="S43" s="36"/>
      <c r="T43" s="36"/>
      <c r="U43" s="36"/>
      <c r="V43" s="36"/>
    </row>
    <row r="44" spans="1:22" ht="13.5" x14ac:dyDescent="0.25">
      <c r="A44" s="34"/>
      <c r="C44" s="34"/>
      <c r="D44" s="34" t="s">
        <v>154</v>
      </c>
      <c r="E44" s="48"/>
      <c r="F44" s="36"/>
      <c r="G44" s="36"/>
      <c r="H44" s="36"/>
      <c r="I44" s="34"/>
      <c r="J44" s="34"/>
      <c r="K44" s="34"/>
      <c r="L44" s="34"/>
      <c r="M44" s="52"/>
      <c r="N44" s="52"/>
      <c r="O44" s="59"/>
      <c r="P44" s="36"/>
      <c r="Q44" s="52"/>
      <c r="R44" s="52"/>
      <c r="S44" s="52"/>
      <c r="T44" s="52"/>
      <c r="U44" s="52"/>
      <c r="V44" s="52"/>
    </row>
    <row r="45" spans="1:22" ht="13.5" x14ac:dyDescent="0.25">
      <c r="A45" s="34" t="s">
        <v>106</v>
      </c>
      <c r="C45" s="34"/>
      <c r="E45" s="48"/>
      <c r="F45" s="36">
        <v>176500</v>
      </c>
      <c r="G45" s="67">
        <f>SUM(L45:V45)</f>
        <v>0</v>
      </c>
      <c r="H45" s="36">
        <f t="shared" si="0"/>
        <v>176500</v>
      </c>
      <c r="I45" s="34"/>
      <c r="J45" s="34" t="s">
        <v>97</v>
      </c>
      <c r="K45" s="34"/>
      <c r="L45" s="34"/>
      <c r="M45" s="52"/>
      <c r="N45" s="52"/>
      <c r="O45" s="59"/>
      <c r="P45" s="36"/>
      <c r="Q45" s="52"/>
      <c r="R45" s="52"/>
      <c r="S45" s="52"/>
      <c r="T45" s="52"/>
      <c r="U45" s="52"/>
      <c r="V45" s="52"/>
    </row>
    <row r="46" spans="1:22" ht="13.5" x14ac:dyDescent="0.25">
      <c r="A46" s="34"/>
      <c r="C46" s="34"/>
      <c r="D46" s="34" t="s">
        <v>105</v>
      </c>
      <c r="E46" s="48"/>
      <c r="F46" s="36"/>
      <c r="G46" s="36"/>
      <c r="H46" s="36"/>
      <c r="I46" s="34"/>
      <c r="J46" s="34"/>
      <c r="K46" s="34"/>
      <c r="L46" s="34"/>
      <c r="M46" s="52"/>
      <c r="N46" s="52"/>
      <c r="O46" s="59"/>
      <c r="P46" s="36"/>
      <c r="Q46" s="52"/>
      <c r="R46" s="52"/>
      <c r="S46" s="52"/>
      <c r="T46" s="52"/>
      <c r="U46" s="52"/>
      <c r="V46" s="52"/>
    </row>
    <row r="47" spans="1:22" ht="13.5" x14ac:dyDescent="0.25">
      <c r="A47" s="34" t="s">
        <v>107</v>
      </c>
      <c r="C47" s="34"/>
      <c r="E47" s="48"/>
      <c r="F47" s="36">
        <v>65078</v>
      </c>
      <c r="G47" s="67">
        <f>SUM(L47:V47)</f>
        <v>0</v>
      </c>
      <c r="H47" s="36">
        <f t="shared" si="0"/>
        <v>65078</v>
      </c>
      <c r="I47" s="34"/>
      <c r="J47" s="34" t="s">
        <v>98</v>
      </c>
      <c r="K47" s="34"/>
      <c r="L47" s="34"/>
      <c r="M47" s="52"/>
      <c r="N47" s="52"/>
      <c r="O47" s="59"/>
      <c r="P47" s="36"/>
      <c r="Q47" s="52"/>
      <c r="R47" s="52"/>
      <c r="S47" s="52"/>
      <c r="T47" s="52"/>
      <c r="U47" s="52"/>
      <c r="V47" s="52"/>
    </row>
    <row r="48" spans="1:22" ht="13.5" x14ac:dyDescent="0.25">
      <c r="A48" s="34"/>
      <c r="C48" s="34"/>
      <c r="D48" s="34" t="s">
        <v>155</v>
      </c>
      <c r="E48" s="48"/>
      <c r="F48" s="36"/>
      <c r="G48" s="36"/>
      <c r="H48" s="36"/>
      <c r="I48" s="34"/>
      <c r="J48" s="34"/>
      <c r="K48" s="34"/>
      <c r="L48" s="34"/>
      <c r="M48" s="52"/>
      <c r="N48" s="52"/>
      <c r="O48" s="59"/>
      <c r="P48" s="36"/>
      <c r="Q48" s="52"/>
      <c r="R48" s="52"/>
      <c r="S48" s="52"/>
      <c r="T48" s="52"/>
      <c r="U48" s="52"/>
      <c r="V48" s="52"/>
    </row>
    <row r="49" spans="1:22" ht="13.5" x14ac:dyDescent="0.25">
      <c r="A49" s="34"/>
      <c r="C49" s="34" t="s">
        <v>88</v>
      </c>
      <c r="E49" s="48">
        <v>10705140</v>
      </c>
      <c r="F49" s="36"/>
      <c r="G49" s="36"/>
      <c r="H49" s="36"/>
      <c r="I49" s="34"/>
      <c r="J49" s="34"/>
      <c r="K49" s="34"/>
      <c r="L49" s="34"/>
      <c r="M49" s="52"/>
      <c r="N49" s="52"/>
      <c r="O49" s="59"/>
      <c r="P49" s="36"/>
      <c r="Q49" s="52"/>
      <c r="R49" s="52"/>
      <c r="S49" s="52"/>
      <c r="T49" s="52"/>
      <c r="U49" s="52"/>
      <c r="V49" s="52"/>
    </row>
    <row r="50" spans="1:22" ht="13.5" x14ac:dyDescent="0.25">
      <c r="A50" s="34" t="s">
        <v>58</v>
      </c>
      <c r="C50" s="34"/>
      <c r="E50" s="34"/>
      <c r="F50" s="36">
        <v>1000000</v>
      </c>
      <c r="G50" s="67">
        <f>SUM(L50:V50)</f>
        <v>0</v>
      </c>
      <c r="H50" s="36">
        <f t="shared" si="0"/>
        <v>1000000</v>
      </c>
      <c r="I50" s="34"/>
      <c r="J50" s="34" t="s">
        <v>94</v>
      </c>
      <c r="K50" s="34"/>
      <c r="L50" s="34"/>
      <c r="M50" s="52"/>
      <c r="N50" s="52"/>
      <c r="O50" s="59"/>
      <c r="P50" s="36"/>
      <c r="Q50" s="52"/>
      <c r="R50" s="52"/>
      <c r="S50" s="52"/>
      <c r="T50" s="52"/>
      <c r="U50" s="52"/>
      <c r="V50" s="52"/>
    </row>
    <row r="51" spans="1:22" ht="13.5" x14ac:dyDescent="0.25">
      <c r="A51" s="34" t="s">
        <v>59</v>
      </c>
      <c r="C51" s="34"/>
      <c r="E51" s="48"/>
      <c r="F51" s="36">
        <v>600000</v>
      </c>
      <c r="G51" s="67">
        <f>SUM(L51:V51)</f>
        <v>0</v>
      </c>
      <c r="H51" s="36">
        <f t="shared" si="0"/>
        <v>600000</v>
      </c>
      <c r="I51" s="34"/>
      <c r="J51" s="34" t="s">
        <v>98</v>
      </c>
      <c r="K51" s="34"/>
      <c r="L51" s="34"/>
      <c r="M51" s="52"/>
      <c r="N51" s="52"/>
      <c r="O51" s="59"/>
      <c r="P51" s="36"/>
      <c r="Q51" s="52"/>
      <c r="R51" s="52"/>
      <c r="S51" s="52"/>
      <c r="T51" s="52"/>
      <c r="U51" s="52"/>
      <c r="V51" s="52"/>
    </row>
    <row r="52" spans="1:22" ht="13.5" x14ac:dyDescent="0.25">
      <c r="A52" s="34" t="s">
        <v>60</v>
      </c>
      <c r="C52" s="34"/>
      <c r="E52" s="48"/>
      <c r="F52" s="36">
        <v>300000</v>
      </c>
      <c r="G52" s="67">
        <f>SUM(L52:V52)</f>
        <v>0</v>
      </c>
      <c r="H52" s="36">
        <f t="shared" si="0"/>
        <v>300000</v>
      </c>
      <c r="I52" s="34"/>
      <c r="J52" s="34" t="s">
        <v>95</v>
      </c>
      <c r="K52" s="34"/>
      <c r="L52" s="34"/>
      <c r="M52" s="52"/>
      <c r="N52" s="52"/>
      <c r="O52" s="59"/>
      <c r="P52" s="36"/>
      <c r="Q52" s="52"/>
      <c r="R52" s="52"/>
      <c r="S52" s="52"/>
      <c r="T52" s="52"/>
      <c r="U52" s="52"/>
      <c r="V52" s="52"/>
    </row>
    <row r="53" spans="1:22" ht="13.5" x14ac:dyDescent="0.25">
      <c r="A53" s="34" t="s">
        <v>57</v>
      </c>
      <c r="C53" s="34"/>
      <c r="E53" s="48"/>
      <c r="F53" s="36">
        <v>252000</v>
      </c>
      <c r="G53" s="67">
        <f>SUM(L53:V53)</f>
        <v>0</v>
      </c>
      <c r="H53" s="36">
        <f t="shared" si="0"/>
        <v>252000</v>
      </c>
      <c r="I53" s="34"/>
      <c r="J53" s="34" t="s">
        <v>98</v>
      </c>
      <c r="K53" s="34"/>
      <c r="L53" s="34"/>
      <c r="M53" s="52"/>
      <c r="N53" s="52"/>
      <c r="O53" s="59"/>
      <c r="P53" s="36"/>
      <c r="Q53" s="52"/>
      <c r="R53" s="52"/>
      <c r="S53" s="52"/>
      <c r="T53" s="52"/>
      <c r="U53" s="52"/>
      <c r="V53" s="52"/>
    </row>
    <row r="54" spans="1:22" ht="13.5" x14ac:dyDescent="0.25">
      <c r="A54" s="34"/>
      <c r="C54" s="34" t="s">
        <v>89</v>
      </c>
      <c r="E54" s="48"/>
      <c r="F54" s="36"/>
      <c r="G54" s="36"/>
      <c r="H54" s="36"/>
      <c r="I54" s="34"/>
      <c r="J54" s="34"/>
      <c r="K54" s="34"/>
      <c r="L54" s="34"/>
      <c r="M54" s="52"/>
      <c r="N54" s="52"/>
      <c r="O54" s="59"/>
      <c r="P54" s="36"/>
      <c r="Q54" s="52"/>
      <c r="R54" s="52"/>
      <c r="S54" s="52"/>
      <c r="T54" s="52"/>
      <c r="U54" s="52"/>
      <c r="V54" s="52"/>
    </row>
    <row r="55" spans="1:22" ht="13.5" x14ac:dyDescent="0.25">
      <c r="A55" s="34" t="s">
        <v>61</v>
      </c>
      <c r="C55" s="34"/>
      <c r="E55" s="48">
        <v>10706010</v>
      </c>
      <c r="F55" s="36">
        <v>3500000</v>
      </c>
      <c r="G55" s="67">
        <f>SUM(L55:V55)</f>
        <v>0</v>
      </c>
      <c r="H55" s="36">
        <f t="shared" si="0"/>
        <v>3500000</v>
      </c>
      <c r="I55" s="34"/>
      <c r="J55" s="34" t="s">
        <v>94</v>
      </c>
      <c r="K55" s="34"/>
      <c r="L55" s="34"/>
      <c r="M55" s="52"/>
      <c r="N55" s="52"/>
      <c r="O55" s="59"/>
      <c r="P55" s="36"/>
      <c r="Q55" s="52"/>
      <c r="R55" s="52"/>
      <c r="S55" s="52"/>
      <c r="T55" s="52"/>
      <c r="U55" s="52"/>
      <c r="V55" s="52"/>
    </row>
    <row r="56" spans="1:22" ht="13.5" x14ac:dyDescent="0.25">
      <c r="A56" s="34"/>
      <c r="C56" s="34" t="s">
        <v>90</v>
      </c>
      <c r="E56" s="48"/>
      <c r="F56" s="36"/>
      <c r="G56" s="36"/>
      <c r="H56" s="36"/>
      <c r="I56" s="34"/>
      <c r="J56" s="34"/>
      <c r="K56" s="34"/>
      <c r="L56" s="34"/>
      <c r="M56" s="52"/>
      <c r="N56" s="52"/>
      <c r="O56" s="59"/>
      <c r="P56" s="36"/>
      <c r="Q56" s="52"/>
      <c r="R56" s="52"/>
      <c r="S56" s="52"/>
      <c r="T56" s="52"/>
      <c r="U56" s="52"/>
      <c r="V56" s="52"/>
    </row>
    <row r="57" spans="1:22" ht="13.5" x14ac:dyDescent="0.25">
      <c r="A57" s="34" t="s">
        <v>62</v>
      </c>
      <c r="B57" s="34"/>
      <c r="C57" s="34"/>
      <c r="E57" s="48">
        <v>10707010</v>
      </c>
      <c r="F57" s="36">
        <v>500000</v>
      </c>
      <c r="G57" s="67">
        <f>SUM(L57:V57)</f>
        <v>0</v>
      </c>
      <c r="H57" s="36">
        <f t="shared" si="0"/>
        <v>500000</v>
      </c>
      <c r="I57" s="34"/>
      <c r="J57" s="34" t="s">
        <v>98</v>
      </c>
      <c r="K57" s="34"/>
      <c r="L57" s="34"/>
      <c r="M57" s="52"/>
      <c r="N57" s="52"/>
      <c r="O57" s="59"/>
      <c r="P57" s="36"/>
      <c r="Q57" s="52"/>
      <c r="R57" s="52"/>
      <c r="S57" s="52"/>
      <c r="T57" s="52"/>
      <c r="U57" s="52"/>
      <c r="V57" s="52"/>
    </row>
    <row r="62" spans="1:22" x14ac:dyDescent="0.2">
      <c r="B62" s="31" t="s">
        <v>224</v>
      </c>
      <c r="D62" s="31" t="s">
        <v>222</v>
      </c>
    </row>
    <row r="63" spans="1:22" x14ac:dyDescent="0.2">
      <c r="D63" s="31" t="s">
        <v>223</v>
      </c>
    </row>
  </sheetData>
  <mergeCells count="9">
    <mergeCell ref="A9:K9"/>
    <mergeCell ref="A12:D12"/>
    <mergeCell ref="J33:K34"/>
    <mergeCell ref="A2:K2"/>
    <mergeCell ref="A3:K3"/>
    <mergeCell ref="A4:K4"/>
    <mergeCell ref="A6:K6"/>
    <mergeCell ref="A7:K7"/>
    <mergeCell ref="A8:K8"/>
  </mergeCells>
  <pageMargins left="0.7" right="0.9" top="0.75" bottom="0.75" header="0.3" footer="0.3"/>
  <pageSetup paperSize="9" orientation="landscape" horizontalDpi="180" verticalDpi="180" r:id="rId1"/>
  <headerFooter>
    <oddFooter>&amp;CPage &amp;P of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7"/>
  <sheetViews>
    <sheetView workbookViewId="0">
      <selection activeCell="M23" sqref="M23"/>
    </sheetView>
  </sheetViews>
  <sheetFormatPr defaultRowHeight="12.75" x14ac:dyDescent="0.2"/>
  <cols>
    <col min="1" max="1" width="2.6640625" style="31" customWidth="1"/>
    <col min="2" max="2" width="5.33203125" style="31" customWidth="1"/>
    <col min="3" max="3" width="8.1640625" style="31" customWidth="1"/>
    <col min="4" max="4" width="60.83203125" style="31" customWidth="1"/>
    <col min="5" max="5" width="7.5" style="31" customWidth="1"/>
    <col min="6" max="6" width="14.1640625" style="31" customWidth="1"/>
    <col min="7" max="7" width="14.6640625" style="31" customWidth="1"/>
    <col min="8" max="8" width="15.5" style="31" customWidth="1"/>
    <col min="9" max="9" width="1.1640625" style="31" customWidth="1"/>
    <col min="10" max="10" width="9.33203125" style="31"/>
    <col min="11" max="11" width="15.5" style="31" customWidth="1"/>
    <col min="12" max="12" width="0" style="31" hidden="1" customWidth="1"/>
    <col min="13" max="13" width="12.83203125" style="31" bestFit="1" customWidth="1"/>
    <col min="14" max="16384" width="9.33203125" style="31"/>
  </cols>
  <sheetData>
    <row r="2" spans="1:22" x14ac:dyDescent="0.2">
      <c r="A2" s="206" t="s">
        <v>63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30"/>
      <c r="M2" s="30"/>
    </row>
    <row r="3" spans="1:22" x14ac:dyDescent="0.2">
      <c r="A3" s="206" t="s">
        <v>64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30"/>
      <c r="M3" s="30"/>
    </row>
    <row r="4" spans="1:22" x14ac:dyDescent="0.2">
      <c r="A4" s="205" t="s">
        <v>65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32"/>
      <c r="M4" s="32"/>
    </row>
    <row r="5" spans="1:22" x14ac:dyDescent="0.2">
      <c r="A5" s="56"/>
      <c r="B5" s="56"/>
      <c r="C5" s="56"/>
      <c r="D5" s="56"/>
      <c r="E5" s="56"/>
      <c r="F5" s="33"/>
      <c r="G5" s="33"/>
      <c r="H5" s="33"/>
      <c r="I5" s="56"/>
      <c r="J5" s="32"/>
      <c r="K5" s="32"/>
    </row>
    <row r="6" spans="1:22" x14ac:dyDescent="0.2">
      <c r="A6" s="206" t="s">
        <v>66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30"/>
      <c r="M6" s="30"/>
    </row>
    <row r="7" spans="1:22" x14ac:dyDescent="0.2">
      <c r="A7" s="207" t="s">
        <v>67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58"/>
      <c r="M7" s="58"/>
    </row>
    <row r="8" spans="1:22" x14ac:dyDescent="0.2">
      <c r="A8" s="214" t="s">
        <v>69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57"/>
      <c r="M8" s="57"/>
      <c r="N8" s="57"/>
      <c r="O8" s="57"/>
      <c r="P8" s="57"/>
    </row>
    <row r="9" spans="1:22" x14ac:dyDescent="0.2">
      <c r="A9" s="206" t="s">
        <v>184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30"/>
      <c r="M9" s="30"/>
    </row>
    <row r="11" spans="1:22" ht="13.5" x14ac:dyDescent="0.25">
      <c r="A11" s="34"/>
      <c r="B11" s="34"/>
      <c r="C11" s="34"/>
      <c r="D11" s="34"/>
      <c r="E11" s="35"/>
      <c r="F11" s="36"/>
      <c r="G11" s="36"/>
      <c r="H11" s="37" t="s">
        <v>75</v>
      </c>
      <c r="I11" s="38"/>
      <c r="J11" s="39" t="s">
        <v>76</v>
      </c>
      <c r="K11" s="39"/>
    </row>
    <row r="12" spans="1:22" ht="13.5" x14ac:dyDescent="0.25">
      <c r="A12" s="226" t="s">
        <v>71</v>
      </c>
      <c r="B12" s="226"/>
      <c r="C12" s="226"/>
      <c r="D12" s="226"/>
      <c r="E12" s="40" t="s">
        <v>72</v>
      </c>
      <c r="F12" s="41" t="s">
        <v>73</v>
      </c>
      <c r="G12" s="41" t="s">
        <v>74</v>
      </c>
      <c r="H12" s="41" t="s">
        <v>73</v>
      </c>
      <c r="I12" s="42"/>
      <c r="J12" s="43" t="s">
        <v>77</v>
      </c>
      <c r="K12" s="43" t="s">
        <v>78</v>
      </c>
    </row>
    <row r="14" spans="1:22" s="34" customFormat="1" ht="12" customHeight="1" x14ac:dyDescent="0.25">
      <c r="A14" s="44" t="s">
        <v>119</v>
      </c>
      <c r="B14" s="44" t="s">
        <v>135</v>
      </c>
      <c r="C14" s="44"/>
      <c r="D14" s="44"/>
      <c r="E14" s="45">
        <v>9940</v>
      </c>
      <c r="F14" s="46">
        <f>SUM(F15:F57)</f>
        <v>15733715.640000001</v>
      </c>
      <c r="G14" s="46">
        <f>SUM(G15:G57)</f>
        <v>285429.34000000003</v>
      </c>
      <c r="H14" s="46">
        <f>SUM(H15:H57)</f>
        <v>15448286.300000001</v>
      </c>
      <c r="I14" s="47"/>
      <c r="L14" s="50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s="34" customFormat="1" x14ac:dyDescent="0.25">
      <c r="A15" s="44"/>
      <c r="C15" s="34" t="s">
        <v>79</v>
      </c>
      <c r="E15" s="48">
        <v>10701010</v>
      </c>
      <c r="F15" s="49"/>
      <c r="G15" s="49"/>
      <c r="H15" s="49"/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16" spans="1:22" s="34" customFormat="1" x14ac:dyDescent="0.25">
      <c r="A16" s="34" t="s">
        <v>47</v>
      </c>
      <c r="F16" s="36">
        <v>55000</v>
      </c>
      <c r="G16" s="36">
        <f>SUM(L16:V16)</f>
        <v>0</v>
      </c>
      <c r="H16" s="36">
        <f t="shared" ref="H16:H57" si="0">F16-G16</f>
        <v>55000</v>
      </c>
      <c r="J16" s="34" t="s">
        <v>94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1:22" s="34" customFormat="1" x14ac:dyDescent="0.25">
      <c r="A17" s="34" t="s">
        <v>48</v>
      </c>
      <c r="E17" s="48"/>
      <c r="F17" s="36">
        <v>100000</v>
      </c>
      <c r="G17" s="36">
        <f>SUM(L17:V17)</f>
        <v>0</v>
      </c>
      <c r="H17" s="36">
        <f t="shared" si="0"/>
        <v>100000</v>
      </c>
      <c r="J17" s="34" t="s">
        <v>95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s="34" customFormat="1" x14ac:dyDescent="0.25">
      <c r="C18" s="34" t="s">
        <v>80</v>
      </c>
      <c r="E18" s="48">
        <v>10702990</v>
      </c>
      <c r="F18" s="36"/>
      <c r="G18" s="36"/>
      <c r="H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s="34" customFormat="1" x14ac:dyDescent="0.25">
      <c r="A19" s="34" t="s">
        <v>49</v>
      </c>
      <c r="F19" s="36">
        <v>837282.77</v>
      </c>
      <c r="G19" s="36">
        <f>SUM(L19:V19)</f>
        <v>96332.46</v>
      </c>
      <c r="H19" s="36">
        <f t="shared" si="0"/>
        <v>740950.31</v>
      </c>
      <c r="K19" s="50" t="s">
        <v>96</v>
      </c>
      <c r="L19" s="36">
        <v>23904</v>
      </c>
      <c r="M19" s="36">
        <v>72428.460000000006</v>
      </c>
      <c r="N19" s="36"/>
      <c r="O19" s="36"/>
      <c r="P19" s="36"/>
      <c r="Q19" s="36"/>
      <c r="R19" s="36"/>
      <c r="S19" s="36"/>
      <c r="T19" s="36"/>
      <c r="U19" s="36"/>
      <c r="V19" s="36"/>
    </row>
    <row r="20" spans="1:22" s="34" customFormat="1" x14ac:dyDescent="0.25">
      <c r="C20" s="34" t="s">
        <v>82</v>
      </c>
      <c r="E20" s="48">
        <v>10703010</v>
      </c>
      <c r="F20" s="36"/>
      <c r="G20" s="36"/>
      <c r="H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s="34" customFormat="1" x14ac:dyDescent="0.25">
      <c r="A21" s="34" t="s">
        <v>50</v>
      </c>
      <c r="F21" s="36">
        <v>425423.95</v>
      </c>
      <c r="G21" s="36">
        <f>SUM(L21:V21)</f>
        <v>189096.88</v>
      </c>
      <c r="H21" s="36">
        <f t="shared" si="0"/>
        <v>236327.07</v>
      </c>
      <c r="J21" s="34" t="s">
        <v>97</v>
      </c>
      <c r="L21" s="36">
        <v>131085.51999999999</v>
      </c>
      <c r="M21" s="36">
        <v>58011.360000000001</v>
      </c>
      <c r="N21" s="36"/>
      <c r="O21" s="36"/>
      <c r="P21" s="36"/>
      <c r="Q21" s="36"/>
      <c r="R21" s="36"/>
      <c r="S21" s="36"/>
      <c r="T21" s="36"/>
      <c r="U21" s="36"/>
      <c r="V21" s="36"/>
    </row>
    <row r="22" spans="1:22" s="34" customFormat="1" x14ac:dyDescent="0.25">
      <c r="A22" s="34" t="s">
        <v>51</v>
      </c>
      <c r="E22" s="48"/>
      <c r="F22" s="36">
        <v>110216.37</v>
      </c>
      <c r="G22" s="36">
        <f>SUM(L22:V22)</f>
        <v>0</v>
      </c>
      <c r="H22" s="36">
        <f t="shared" si="0"/>
        <v>110216.37</v>
      </c>
      <c r="J22" s="34" t="s">
        <v>156</v>
      </c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s="34" customFormat="1" x14ac:dyDescent="0.25">
      <c r="C23" s="34" t="s">
        <v>81</v>
      </c>
      <c r="E23" s="48"/>
      <c r="F23" s="36"/>
      <c r="G23" s="36"/>
      <c r="H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s="34" customFormat="1" x14ac:dyDescent="0.25">
      <c r="A24" s="34" t="s">
        <v>52</v>
      </c>
      <c r="E24" s="48">
        <v>10704010</v>
      </c>
      <c r="F24" s="36">
        <v>500000</v>
      </c>
      <c r="G24" s="36">
        <f>SUM(L24:V24)</f>
        <v>0</v>
      </c>
      <c r="H24" s="36">
        <f t="shared" si="0"/>
        <v>500000</v>
      </c>
      <c r="J24" s="34" t="s">
        <v>98</v>
      </c>
      <c r="M24" s="36"/>
      <c r="N24" s="36"/>
      <c r="O24" s="36"/>
      <c r="P24" s="36"/>
      <c r="Q24" s="36"/>
      <c r="R24" s="36"/>
      <c r="S24" s="36"/>
      <c r="T24" s="36"/>
      <c r="U24" s="36"/>
      <c r="V24" s="36"/>
    </row>
    <row r="25" spans="1:22" s="34" customFormat="1" x14ac:dyDescent="0.25">
      <c r="A25" s="34" t="s">
        <v>91</v>
      </c>
      <c r="E25" s="48" t="s">
        <v>0</v>
      </c>
      <c r="F25" s="36">
        <v>3000000</v>
      </c>
      <c r="G25" s="36">
        <f>SUM(L25:V25)</f>
        <v>0</v>
      </c>
      <c r="H25" s="36">
        <f>F25-G25</f>
        <v>3000000</v>
      </c>
      <c r="K25" s="50" t="s">
        <v>96</v>
      </c>
      <c r="M25" s="36"/>
      <c r="N25" s="36"/>
      <c r="O25" s="36"/>
      <c r="P25" s="36"/>
      <c r="Q25" s="36"/>
      <c r="R25" s="36"/>
      <c r="S25" s="36"/>
      <c r="T25" s="36"/>
      <c r="U25" s="36"/>
      <c r="V25" s="36"/>
    </row>
    <row r="26" spans="1:22" s="34" customFormat="1" x14ac:dyDescent="0.25">
      <c r="C26" s="34" t="s">
        <v>83</v>
      </c>
      <c r="E26" s="48">
        <v>10704990</v>
      </c>
      <c r="F26" s="36"/>
      <c r="G26" s="36"/>
      <c r="H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s="34" customFormat="1" x14ac:dyDescent="0.25">
      <c r="A27" s="34" t="s">
        <v>53</v>
      </c>
      <c r="F27" s="36">
        <v>1672764.71</v>
      </c>
      <c r="G27" s="36">
        <f>SUM(L27:V27)</f>
        <v>0</v>
      </c>
      <c r="H27" s="36">
        <f t="shared" si="0"/>
        <v>1672764.71</v>
      </c>
      <c r="K27" s="51" t="s">
        <v>102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</row>
    <row r="28" spans="1:22" s="34" customFormat="1" x14ac:dyDescent="0.25">
      <c r="A28" s="34" t="s">
        <v>54</v>
      </c>
      <c r="E28" s="48"/>
      <c r="F28" s="36">
        <v>68165.77</v>
      </c>
      <c r="G28" s="36">
        <f>SUM(L28:V28)</f>
        <v>0</v>
      </c>
      <c r="H28" s="36">
        <f t="shared" si="0"/>
        <v>68165.77</v>
      </c>
      <c r="J28" s="34" t="s">
        <v>97</v>
      </c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22" s="34" customFormat="1" x14ac:dyDescent="0.25">
      <c r="A29" s="34" t="s">
        <v>55</v>
      </c>
      <c r="E29" s="48"/>
      <c r="F29" s="36">
        <v>218199.98</v>
      </c>
      <c r="G29" s="36">
        <f>SUM(L29:V29)</f>
        <v>0</v>
      </c>
      <c r="H29" s="36">
        <f t="shared" si="0"/>
        <v>218199.98</v>
      </c>
      <c r="J29" s="34" t="s">
        <v>157</v>
      </c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22" s="34" customFormat="1" x14ac:dyDescent="0.25">
      <c r="A30" s="34" t="s">
        <v>92</v>
      </c>
      <c r="E30" s="48"/>
      <c r="F30" s="36">
        <v>10696.16</v>
      </c>
      <c r="G30" s="36">
        <f>SUM(L30:V30)</f>
        <v>0</v>
      </c>
      <c r="H30" s="36">
        <f t="shared" si="0"/>
        <v>10696.16</v>
      </c>
      <c r="J30" s="34" t="s">
        <v>97</v>
      </c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22" s="34" customFormat="1" x14ac:dyDescent="0.25">
      <c r="A31" s="34" t="s">
        <v>151</v>
      </c>
      <c r="E31" s="48"/>
      <c r="F31" s="36"/>
      <c r="G31" s="36"/>
      <c r="H31" s="36"/>
      <c r="J31" s="34" t="s">
        <v>98</v>
      </c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22" s="34" customFormat="1" x14ac:dyDescent="0.25">
      <c r="A32" s="34" t="s">
        <v>152</v>
      </c>
      <c r="E32" s="48"/>
      <c r="F32" s="36">
        <v>368218.82</v>
      </c>
      <c r="G32" s="36">
        <f>SUM(L32:V32)</f>
        <v>0</v>
      </c>
      <c r="H32" s="36">
        <f t="shared" si="0"/>
        <v>368218.82</v>
      </c>
      <c r="J32" s="34" t="s">
        <v>101</v>
      </c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 s="34" customFormat="1" x14ac:dyDescent="0.25">
      <c r="A33" s="34" t="s">
        <v>93</v>
      </c>
      <c r="E33" s="48"/>
      <c r="F33" s="36">
        <v>0</v>
      </c>
      <c r="G33" s="36">
        <f>SUM(L33:V33)</f>
        <v>0</v>
      </c>
      <c r="H33" s="36">
        <f t="shared" si="0"/>
        <v>0</v>
      </c>
      <c r="J33" s="227" t="s">
        <v>172</v>
      </c>
      <c r="K33" s="227"/>
      <c r="M33" s="36"/>
      <c r="N33" s="36"/>
      <c r="O33" s="36"/>
      <c r="P33" s="36"/>
      <c r="Q33" s="36"/>
      <c r="R33" s="36"/>
      <c r="S33" s="36"/>
      <c r="T33" s="36"/>
      <c r="U33" s="36"/>
      <c r="V33" s="36"/>
    </row>
    <row r="34" spans="1:22" s="34" customFormat="1" x14ac:dyDescent="0.25">
      <c r="E34" s="48"/>
      <c r="F34" s="36"/>
      <c r="G34" s="36"/>
      <c r="H34" s="36"/>
      <c r="J34" s="227"/>
      <c r="K34" s="227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s="34" customFormat="1" x14ac:dyDescent="0.25">
      <c r="A35" s="34" t="s">
        <v>56</v>
      </c>
      <c r="E35" s="48"/>
      <c r="F35" s="36">
        <v>703010.61</v>
      </c>
      <c r="G35" s="36">
        <f>SUM(L35:V35)</f>
        <v>0</v>
      </c>
      <c r="H35" s="36">
        <f t="shared" si="0"/>
        <v>703010.61</v>
      </c>
      <c r="J35" s="34" t="s">
        <v>173</v>
      </c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1:22" s="34" customFormat="1" ht="12" customHeight="1" x14ac:dyDescent="0.25">
      <c r="E36" s="48"/>
      <c r="F36" s="36"/>
      <c r="G36" s="36"/>
      <c r="H36" s="36"/>
      <c r="J36" s="50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2" s="34" customFormat="1" x14ac:dyDescent="0.25">
      <c r="C37" s="34" t="s">
        <v>84</v>
      </c>
      <c r="E37" s="48"/>
      <c r="F37" s="36"/>
      <c r="G37" s="36"/>
      <c r="H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s="34" customFormat="1" x14ac:dyDescent="0.25">
      <c r="A38" s="34" t="s">
        <v>57</v>
      </c>
      <c r="E38" s="48">
        <v>10705030</v>
      </c>
      <c r="F38" s="36">
        <v>230300</v>
      </c>
      <c r="G38" s="36">
        <f>SUM(L38:V38)</f>
        <v>0</v>
      </c>
      <c r="H38" s="36">
        <f t="shared" si="0"/>
        <v>230300</v>
      </c>
      <c r="J38" s="34" t="s">
        <v>98</v>
      </c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 s="34" customFormat="1" x14ac:dyDescent="0.25">
      <c r="C39" s="34" t="s">
        <v>86</v>
      </c>
      <c r="E39" s="48"/>
      <c r="F39" s="36"/>
      <c r="G39" s="36"/>
      <c r="H39" s="36"/>
      <c r="M39" s="36"/>
      <c r="N39" s="36"/>
      <c r="O39" s="36"/>
      <c r="P39" s="36"/>
      <c r="Q39" s="36"/>
      <c r="R39" s="36"/>
      <c r="S39" s="36"/>
      <c r="T39" s="36"/>
      <c r="U39" s="36"/>
      <c r="V39" s="36"/>
    </row>
    <row r="40" spans="1:22" s="34" customFormat="1" x14ac:dyDescent="0.25">
      <c r="A40" s="34" t="s">
        <v>85</v>
      </c>
      <c r="E40" s="48">
        <v>10705040</v>
      </c>
      <c r="F40" s="36">
        <v>627297.5</v>
      </c>
      <c r="G40" s="36">
        <f>SUM(L40:V40)</f>
        <v>0</v>
      </c>
      <c r="H40" s="36">
        <f t="shared" si="0"/>
        <v>627297.5</v>
      </c>
      <c r="J40" s="34" t="s">
        <v>97</v>
      </c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2" s="34" customFormat="1" x14ac:dyDescent="0.25">
      <c r="C41" s="34" t="s">
        <v>87</v>
      </c>
      <c r="E41" s="48">
        <v>10705090</v>
      </c>
      <c r="F41" s="36"/>
      <c r="G41" s="36"/>
      <c r="H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s="34" customFormat="1" x14ac:dyDescent="0.25">
      <c r="A42" s="34" t="s">
        <v>58</v>
      </c>
      <c r="F42" s="36">
        <v>350000</v>
      </c>
      <c r="G42" s="36">
        <f>SUM(L42:V42)</f>
        <v>0</v>
      </c>
      <c r="H42" s="36">
        <f t="shared" si="0"/>
        <v>350000</v>
      </c>
      <c r="J42" s="34" t="s">
        <v>97</v>
      </c>
      <c r="M42" s="36"/>
      <c r="N42" s="36"/>
      <c r="O42" s="36"/>
      <c r="P42" s="36"/>
      <c r="Q42" s="36"/>
      <c r="R42" s="36"/>
      <c r="S42" s="36"/>
      <c r="T42" s="36"/>
      <c r="U42" s="36"/>
      <c r="V42" s="36"/>
    </row>
    <row r="43" spans="1:22" s="34" customFormat="1" x14ac:dyDescent="0.25">
      <c r="A43" s="34" t="s">
        <v>153</v>
      </c>
      <c r="E43" s="48"/>
      <c r="F43" s="36">
        <v>63561</v>
      </c>
      <c r="G43" s="36">
        <f>SUM(L43:V43)</f>
        <v>0</v>
      </c>
      <c r="H43" s="36">
        <f t="shared" si="0"/>
        <v>63561</v>
      </c>
      <c r="J43" s="34" t="s">
        <v>94</v>
      </c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1:22" ht="13.5" x14ac:dyDescent="0.25">
      <c r="A44" s="34"/>
      <c r="C44" s="34"/>
      <c r="D44" s="34" t="s">
        <v>154</v>
      </c>
      <c r="E44" s="48"/>
      <c r="F44" s="36"/>
      <c r="G44" s="36"/>
      <c r="H44" s="36"/>
      <c r="I44" s="34"/>
      <c r="J44" s="34"/>
      <c r="K44" s="34"/>
      <c r="L44" s="34"/>
      <c r="M44" s="52"/>
      <c r="N44" s="52"/>
      <c r="O44" s="52"/>
      <c r="P44" s="36"/>
      <c r="Q44" s="52"/>
      <c r="R44" s="52"/>
      <c r="S44" s="52"/>
      <c r="T44" s="52"/>
      <c r="U44" s="52"/>
      <c r="V44" s="52"/>
    </row>
    <row r="45" spans="1:22" ht="13.5" x14ac:dyDescent="0.25">
      <c r="A45" s="34" t="s">
        <v>106</v>
      </c>
      <c r="C45" s="34"/>
      <c r="E45" s="48"/>
      <c r="F45" s="36">
        <v>176500</v>
      </c>
      <c r="G45" s="36">
        <f>SUM(L45:V45)</f>
        <v>0</v>
      </c>
      <c r="H45" s="36">
        <f t="shared" si="0"/>
        <v>176500</v>
      </c>
      <c r="I45" s="34"/>
      <c r="J45" s="34" t="s">
        <v>97</v>
      </c>
      <c r="K45" s="34"/>
      <c r="L45" s="34"/>
      <c r="M45" s="52"/>
      <c r="N45" s="52"/>
      <c r="O45" s="52"/>
      <c r="P45" s="36"/>
      <c r="Q45" s="52"/>
      <c r="R45" s="52"/>
      <c r="S45" s="52"/>
      <c r="T45" s="52"/>
      <c r="U45" s="52"/>
      <c r="V45" s="52"/>
    </row>
    <row r="46" spans="1:22" ht="13.5" x14ac:dyDescent="0.25">
      <c r="A46" s="34"/>
      <c r="C46" s="34"/>
      <c r="D46" s="34" t="s">
        <v>105</v>
      </c>
      <c r="E46" s="48"/>
      <c r="F46" s="36"/>
      <c r="G46" s="36"/>
      <c r="H46" s="36"/>
      <c r="I46" s="34"/>
      <c r="J46" s="34"/>
      <c r="K46" s="34"/>
      <c r="L46" s="34"/>
      <c r="M46" s="52"/>
      <c r="N46" s="52"/>
      <c r="O46" s="52"/>
      <c r="P46" s="36"/>
      <c r="Q46" s="52"/>
      <c r="R46" s="52"/>
      <c r="S46" s="52"/>
      <c r="T46" s="52"/>
      <c r="U46" s="52"/>
      <c r="V46" s="52"/>
    </row>
    <row r="47" spans="1:22" ht="13.5" x14ac:dyDescent="0.25">
      <c r="A47" s="34" t="s">
        <v>107</v>
      </c>
      <c r="C47" s="34"/>
      <c r="E47" s="48"/>
      <c r="F47" s="36">
        <v>65078</v>
      </c>
      <c r="G47" s="36">
        <f>SUM(L47:V47)</f>
        <v>0</v>
      </c>
      <c r="H47" s="36">
        <f t="shared" si="0"/>
        <v>65078</v>
      </c>
      <c r="I47" s="34"/>
      <c r="J47" s="34" t="s">
        <v>98</v>
      </c>
      <c r="K47" s="34"/>
      <c r="L47" s="34"/>
      <c r="M47" s="52"/>
      <c r="N47" s="52"/>
      <c r="O47" s="52"/>
      <c r="P47" s="36"/>
      <c r="Q47" s="52"/>
      <c r="R47" s="52"/>
      <c r="S47" s="52"/>
      <c r="T47" s="52"/>
      <c r="U47" s="52"/>
      <c r="V47" s="52"/>
    </row>
    <row r="48" spans="1:22" ht="13.5" x14ac:dyDescent="0.25">
      <c r="A48" s="34"/>
      <c r="C48" s="34"/>
      <c r="D48" s="34" t="s">
        <v>155</v>
      </c>
      <c r="E48" s="48"/>
      <c r="F48" s="36"/>
      <c r="G48" s="36"/>
      <c r="H48" s="36"/>
      <c r="I48" s="34"/>
      <c r="J48" s="34"/>
      <c r="K48" s="34"/>
      <c r="L48" s="34"/>
      <c r="M48" s="52"/>
      <c r="N48" s="52"/>
      <c r="O48" s="52"/>
      <c r="P48" s="36"/>
      <c r="Q48" s="52"/>
      <c r="R48" s="52"/>
      <c r="S48" s="52"/>
      <c r="T48" s="52"/>
      <c r="U48" s="52"/>
      <c r="V48" s="52"/>
    </row>
    <row r="49" spans="1:22" ht="13.5" x14ac:dyDescent="0.25">
      <c r="A49" s="34"/>
      <c r="C49" s="34" t="s">
        <v>88</v>
      </c>
      <c r="E49" s="48">
        <v>10705140</v>
      </c>
      <c r="F49" s="36"/>
      <c r="G49" s="36"/>
      <c r="H49" s="36"/>
      <c r="I49" s="34"/>
      <c r="J49" s="34"/>
      <c r="K49" s="34"/>
      <c r="L49" s="34"/>
      <c r="M49" s="52"/>
      <c r="N49" s="52"/>
      <c r="O49" s="52"/>
      <c r="P49" s="36"/>
      <c r="Q49" s="52"/>
      <c r="R49" s="52"/>
      <c r="S49" s="52"/>
      <c r="T49" s="52"/>
      <c r="U49" s="52"/>
      <c r="V49" s="52"/>
    </row>
    <row r="50" spans="1:22" ht="13.5" x14ac:dyDescent="0.25">
      <c r="A50" s="34" t="s">
        <v>58</v>
      </c>
      <c r="C50" s="34"/>
      <c r="E50" s="34"/>
      <c r="F50" s="36">
        <v>1000000</v>
      </c>
      <c r="G50" s="36">
        <f>SUM(L50:V50)</f>
        <v>0</v>
      </c>
      <c r="H50" s="36">
        <f t="shared" si="0"/>
        <v>1000000</v>
      </c>
      <c r="I50" s="34"/>
      <c r="J50" s="34" t="s">
        <v>94</v>
      </c>
      <c r="K50" s="34"/>
      <c r="L50" s="34"/>
      <c r="M50" s="52"/>
      <c r="N50" s="52"/>
      <c r="O50" s="52"/>
      <c r="P50" s="36"/>
      <c r="Q50" s="52"/>
      <c r="R50" s="52"/>
      <c r="S50" s="52"/>
      <c r="T50" s="52"/>
      <c r="U50" s="52"/>
      <c r="V50" s="52"/>
    </row>
    <row r="51" spans="1:22" ht="13.5" x14ac:dyDescent="0.25">
      <c r="A51" s="34" t="s">
        <v>59</v>
      </c>
      <c r="C51" s="34"/>
      <c r="E51" s="48"/>
      <c r="F51" s="36">
        <v>600000</v>
      </c>
      <c r="G51" s="36">
        <f>SUM(L51:V51)</f>
        <v>0</v>
      </c>
      <c r="H51" s="36">
        <f t="shared" si="0"/>
        <v>600000</v>
      </c>
      <c r="I51" s="34"/>
      <c r="J51" s="34" t="s">
        <v>98</v>
      </c>
      <c r="K51" s="34"/>
      <c r="L51" s="34"/>
      <c r="M51" s="52"/>
      <c r="N51" s="52"/>
      <c r="O51" s="52"/>
      <c r="P51" s="36"/>
      <c r="Q51" s="52"/>
      <c r="R51" s="52"/>
      <c r="S51" s="52"/>
      <c r="T51" s="52"/>
      <c r="U51" s="52"/>
      <c r="V51" s="52"/>
    </row>
    <row r="52" spans="1:22" ht="13.5" x14ac:dyDescent="0.25">
      <c r="A52" s="34" t="s">
        <v>60</v>
      </c>
      <c r="C52" s="34"/>
      <c r="E52" s="48"/>
      <c r="F52" s="36">
        <v>300000</v>
      </c>
      <c r="G52" s="36">
        <f>SUM(L52:V52)</f>
        <v>0</v>
      </c>
      <c r="H52" s="36">
        <f t="shared" si="0"/>
        <v>300000</v>
      </c>
      <c r="I52" s="34"/>
      <c r="J52" s="34" t="s">
        <v>95</v>
      </c>
      <c r="K52" s="34"/>
      <c r="L52" s="34"/>
      <c r="M52" s="52"/>
      <c r="N52" s="52"/>
      <c r="O52" s="52"/>
      <c r="P52" s="36"/>
      <c r="Q52" s="52"/>
      <c r="R52" s="52"/>
      <c r="S52" s="52"/>
      <c r="T52" s="52"/>
      <c r="U52" s="52"/>
      <c r="V52" s="52"/>
    </row>
    <row r="53" spans="1:22" ht="13.5" x14ac:dyDescent="0.25">
      <c r="A53" s="34" t="s">
        <v>57</v>
      </c>
      <c r="C53" s="34"/>
      <c r="E53" s="48"/>
      <c r="F53" s="36">
        <v>252000</v>
      </c>
      <c r="G53" s="36">
        <f>SUM(L53:V53)</f>
        <v>0</v>
      </c>
      <c r="H53" s="36">
        <f t="shared" si="0"/>
        <v>252000</v>
      </c>
      <c r="I53" s="34"/>
      <c r="J53" s="34" t="s">
        <v>98</v>
      </c>
      <c r="K53" s="34"/>
      <c r="L53" s="34"/>
      <c r="M53" s="52"/>
      <c r="N53" s="52"/>
      <c r="O53" s="52"/>
      <c r="P53" s="36"/>
      <c r="Q53" s="52"/>
      <c r="R53" s="52"/>
      <c r="S53" s="52"/>
      <c r="T53" s="52"/>
      <c r="U53" s="52"/>
      <c r="V53" s="52"/>
    </row>
    <row r="54" spans="1:22" ht="13.5" x14ac:dyDescent="0.25">
      <c r="A54" s="34"/>
      <c r="C54" s="34" t="s">
        <v>89</v>
      </c>
      <c r="E54" s="48"/>
      <c r="F54" s="36"/>
      <c r="G54" s="36"/>
      <c r="H54" s="36"/>
      <c r="I54" s="34"/>
      <c r="J54" s="34"/>
      <c r="K54" s="34"/>
      <c r="L54" s="34"/>
      <c r="M54" s="52"/>
      <c r="N54" s="52"/>
      <c r="O54" s="52"/>
      <c r="P54" s="36"/>
      <c r="Q54" s="52"/>
      <c r="R54" s="52"/>
      <c r="S54" s="52"/>
      <c r="T54" s="52"/>
      <c r="U54" s="52"/>
      <c r="V54" s="52"/>
    </row>
    <row r="55" spans="1:22" ht="13.5" x14ac:dyDescent="0.25">
      <c r="A55" s="34" t="s">
        <v>61</v>
      </c>
      <c r="C55" s="34"/>
      <c r="E55" s="48">
        <v>10706010</v>
      </c>
      <c r="F55" s="36">
        <v>3500000</v>
      </c>
      <c r="G55" s="36">
        <f>SUM(L55:V55)</f>
        <v>0</v>
      </c>
      <c r="H55" s="36">
        <f t="shared" si="0"/>
        <v>3500000</v>
      </c>
      <c r="I55" s="34"/>
      <c r="J55" s="34" t="s">
        <v>94</v>
      </c>
      <c r="K55" s="34"/>
      <c r="L55" s="34"/>
      <c r="M55" s="52"/>
      <c r="N55" s="52"/>
      <c r="O55" s="52"/>
      <c r="P55" s="36"/>
      <c r="Q55" s="52"/>
      <c r="R55" s="52"/>
      <c r="S55" s="52"/>
      <c r="T55" s="52"/>
      <c r="U55" s="52"/>
      <c r="V55" s="52"/>
    </row>
    <row r="56" spans="1:22" ht="13.5" x14ac:dyDescent="0.25">
      <c r="A56" s="34"/>
      <c r="C56" s="34" t="s">
        <v>90</v>
      </c>
      <c r="E56" s="48"/>
      <c r="F56" s="36"/>
      <c r="G56" s="36"/>
      <c r="H56" s="36"/>
      <c r="I56" s="34"/>
      <c r="J56" s="34"/>
      <c r="K56" s="34"/>
      <c r="L56" s="34"/>
      <c r="M56" s="52"/>
      <c r="N56" s="52"/>
      <c r="O56" s="52"/>
      <c r="P56" s="36"/>
      <c r="Q56" s="52"/>
      <c r="R56" s="52"/>
      <c r="S56" s="52"/>
      <c r="T56" s="52"/>
      <c r="U56" s="52"/>
      <c r="V56" s="52"/>
    </row>
    <row r="57" spans="1:22" ht="13.5" x14ac:dyDescent="0.25">
      <c r="A57" s="34" t="s">
        <v>62</v>
      </c>
      <c r="B57" s="34"/>
      <c r="C57" s="34"/>
      <c r="E57" s="48">
        <v>10707010</v>
      </c>
      <c r="F57" s="36">
        <v>500000</v>
      </c>
      <c r="G57" s="36">
        <f>SUM(L57:V57)</f>
        <v>0</v>
      </c>
      <c r="H57" s="36">
        <f t="shared" si="0"/>
        <v>500000</v>
      </c>
      <c r="I57" s="34"/>
      <c r="J57" s="34" t="s">
        <v>98</v>
      </c>
      <c r="K57" s="34"/>
      <c r="L57" s="34"/>
      <c r="M57" s="52"/>
      <c r="N57" s="52"/>
      <c r="O57" s="52"/>
      <c r="P57" s="36"/>
      <c r="Q57" s="52"/>
      <c r="R57" s="52"/>
      <c r="S57" s="52"/>
      <c r="T57" s="52"/>
      <c r="U57" s="52"/>
      <c r="V57" s="52"/>
    </row>
  </sheetData>
  <mergeCells count="9">
    <mergeCell ref="J33:K34"/>
    <mergeCell ref="A2:K2"/>
    <mergeCell ref="A3:K3"/>
    <mergeCell ref="A4:K4"/>
    <mergeCell ref="A6:K6"/>
    <mergeCell ref="A7:K7"/>
    <mergeCell ref="A8:K8"/>
    <mergeCell ref="A9:K9"/>
    <mergeCell ref="A12:D12"/>
  </mergeCells>
  <pageMargins left="0.7" right="0.9" top="0.75" bottom="0.75" header="0.3" footer="0.3"/>
  <pageSetup paperSize="9" orientation="landscape" horizontalDpi="0" verticalDpi="0" r:id="rId1"/>
  <headerFooter>
    <oddFooter>&amp;CPage &amp;P of 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4"/>
  <sheetViews>
    <sheetView zoomScaleNormal="100" workbookViewId="0">
      <selection activeCell="M23" sqref="M23"/>
    </sheetView>
  </sheetViews>
  <sheetFormatPr defaultRowHeight="12.75" x14ac:dyDescent="0.2"/>
  <cols>
    <col min="1" max="1" width="11" customWidth="1"/>
    <col min="2" max="2" width="4" customWidth="1"/>
    <col min="3" max="3" width="2" customWidth="1"/>
    <col min="4" max="4" width="58" customWidth="1"/>
    <col min="5" max="5" width="7.6640625" style="24" customWidth="1"/>
    <col min="6" max="6" width="1.5" customWidth="1"/>
    <col min="7" max="7" width="12" bestFit="1" customWidth="1"/>
    <col min="8" max="8" width="1.6640625" customWidth="1"/>
    <col min="9" max="9" width="12.1640625" bestFit="1" customWidth="1"/>
    <col min="10" max="10" width="1.6640625" customWidth="1"/>
    <col min="11" max="11" width="12.83203125" bestFit="1" customWidth="1"/>
    <col min="12" max="12" width="1.6640625" customWidth="1"/>
    <col min="13" max="13" width="7.6640625" customWidth="1"/>
    <col min="14" max="14" width="10.33203125" style="29" customWidth="1"/>
  </cols>
  <sheetData>
    <row r="2" spans="1:23" ht="13.5" x14ac:dyDescent="0.25">
      <c r="A2" s="229" t="s">
        <v>63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7"/>
      <c r="R2" s="7"/>
      <c r="S2" s="7"/>
      <c r="T2" s="7"/>
      <c r="U2" s="7"/>
      <c r="V2" s="7"/>
      <c r="W2" s="7"/>
    </row>
    <row r="3" spans="1:23" ht="13.5" x14ac:dyDescent="0.25">
      <c r="A3" s="229" t="s">
        <v>64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7"/>
      <c r="R3" s="7"/>
      <c r="S3" s="7"/>
      <c r="T3" s="7"/>
      <c r="U3" s="7"/>
      <c r="V3" s="7"/>
      <c r="W3" s="7"/>
    </row>
    <row r="4" spans="1:23" ht="13.5" x14ac:dyDescent="0.2">
      <c r="A4" s="230" t="s">
        <v>65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8"/>
      <c r="R4" s="8"/>
      <c r="S4" s="8"/>
      <c r="T4" s="8"/>
      <c r="U4" s="8"/>
      <c r="V4" s="8"/>
      <c r="W4" s="8"/>
    </row>
    <row r="5" spans="1:23" x14ac:dyDescent="0.2">
      <c r="A5" s="11"/>
      <c r="B5" s="11"/>
      <c r="C5" s="11"/>
      <c r="D5" s="11"/>
      <c r="E5" s="23"/>
      <c r="F5" s="11"/>
      <c r="G5" s="11"/>
      <c r="H5" s="11"/>
      <c r="I5" s="11"/>
      <c r="J5" s="11"/>
      <c r="K5" s="11"/>
      <c r="L5" s="11"/>
      <c r="M5" s="8"/>
      <c r="N5" s="27"/>
      <c r="O5" s="8"/>
      <c r="P5" s="8"/>
      <c r="Q5" s="8"/>
      <c r="R5" s="8"/>
      <c r="S5" s="8"/>
      <c r="T5" s="8"/>
      <c r="U5" s="8"/>
      <c r="V5" s="8"/>
      <c r="W5" s="8"/>
    </row>
    <row r="6" spans="1:23" ht="15.75" x14ac:dyDescent="0.25">
      <c r="A6" s="231" t="s">
        <v>66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9"/>
      <c r="R6" s="9"/>
      <c r="S6" s="9"/>
      <c r="T6" s="9"/>
      <c r="U6" s="9"/>
      <c r="V6" s="9"/>
      <c r="W6" s="9"/>
    </row>
    <row r="7" spans="1:23" ht="15.75" x14ac:dyDescent="0.25">
      <c r="A7" s="232" t="s">
        <v>67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10"/>
      <c r="R7" s="10"/>
      <c r="S7" s="10"/>
      <c r="T7" s="10"/>
      <c r="U7" s="10"/>
      <c r="V7" s="10"/>
      <c r="W7" s="10"/>
    </row>
    <row r="8" spans="1:23" ht="15.75" x14ac:dyDescent="0.25">
      <c r="A8" s="214" t="s">
        <v>69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9"/>
      <c r="R8" s="9"/>
      <c r="S8" s="9"/>
      <c r="T8" s="9"/>
      <c r="U8" s="9"/>
      <c r="V8" s="9"/>
      <c r="W8" s="9"/>
    </row>
    <row r="9" spans="1:23" ht="15.75" x14ac:dyDescent="0.25">
      <c r="A9" s="233" t="s">
        <v>111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9"/>
      <c r="R9" s="9"/>
      <c r="S9" s="9"/>
      <c r="T9" s="9"/>
      <c r="U9" s="9"/>
      <c r="V9" s="9"/>
      <c r="W9" s="9"/>
    </row>
    <row r="12" spans="1:23" s="1" customFormat="1" x14ac:dyDescent="0.25">
      <c r="E12" s="24"/>
      <c r="K12" s="16" t="s">
        <v>75</v>
      </c>
      <c r="L12" s="13"/>
      <c r="M12" s="233" t="s">
        <v>76</v>
      </c>
      <c r="N12" s="233"/>
    </row>
    <row r="13" spans="1:23" s="1" customFormat="1" x14ac:dyDescent="0.25">
      <c r="B13" s="15" t="s">
        <v>71</v>
      </c>
      <c r="C13" s="15"/>
      <c r="D13" s="15"/>
      <c r="E13" s="25" t="s">
        <v>72</v>
      </c>
      <c r="F13" s="17"/>
      <c r="G13" s="14" t="s">
        <v>73</v>
      </c>
      <c r="H13" s="14"/>
      <c r="I13" s="14" t="s">
        <v>74</v>
      </c>
      <c r="J13" s="14"/>
      <c r="K13" s="14" t="s">
        <v>73</v>
      </c>
      <c r="L13" s="14"/>
      <c r="M13" s="12" t="s">
        <v>77</v>
      </c>
      <c r="N13" s="12" t="s">
        <v>78</v>
      </c>
    </row>
    <row r="14" spans="1:23" s="1" customFormat="1" x14ac:dyDescent="0.25">
      <c r="E14" s="24"/>
      <c r="G14" s="26">
        <v>15733715.640000001</v>
      </c>
      <c r="H14" s="26"/>
      <c r="I14" s="26">
        <v>34762</v>
      </c>
      <c r="J14" s="26"/>
      <c r="K14" s="26">
        <v>15698953.640000001</v>
      </c>
      <c r="N14" s="22"/>
    </row>
    <row r="15" spans="1:23" s="1" customFormat="1" x14ac:dyDescent="0.25">
      <c r="A15" s="4" t="s">
        <v>46</v>
      </c>
      <c r="B15" s="4"/>
      <c r="C15" s="4"/>
      <c r="D15" s="4"/>
      <c r="E15" s="5">
        <v>9940</v>
      </c>
      <c r="F15" s="18" t="s">
        <v>70</v>
      </c>
      <c r="G15" s="21">
        <v>15733715.640000001</v>
      </c>
      <c r="H15" s="6" t="s">
        <v>70</v>
      </c>
      <c r="I15" s="21">
        <v>34762</v>
      </c>
      <c r="J15" s="6" t="s">
        <v>70</v>
      </c>
      <c r="K15" s="21">
        <f>G15-I15</f>
        <v>15698953.640000001</v>
      </c>
      <c r="L15" s="6"/>
      <c r="N15" s="22"/>
    </row>
    <row r="16" spans="1:23" s="1" customFormat="1" x14ac:dyDescent="0.25">
      <c r="B16" s="1" t="s">
        <v>79</v>
      </c>
      <c r="E16" s="2">
        <v>10701010</v>
      </c>
      <c r="F16" s="19"/>
      <c r="G16" s="3"/>
      <c r="H16" s="3"/>
      <c r="I16" s="3"/>
      <c r="J16" s="3"/>
      <c r="K16" s="3"/>
      <c r="L16" s="3"/>
      <c r="N16" s="22"/>
    </row>
    <row r="17" spans="1:14" s="1" customFormat="1" x14ac:dyDescent="0.25">
      <c r="A17" s="1" t="s">
        <v>47</v>
      </c>
      <c r="E17" s="24"/>
      <c r="F17" s="19"/>
      <c r="G17" s="3">
        <v>55000</v>
      </c>
      <c r="H17" s="3"/>
      <c r="I17" s="3">
        <v>0</v>
      </c>
      <c r="J17" s="3"/>
      <c r="K17" s="3">
        <f>G17-I17</f>
        <v>55000</v>
      </c>
      <c r="L17" s="3"/>
      <c r="M17" s="1" t="s">
        <v>94</v>
      </c>
      <c r="N17" s="22"/>
    </row>
    <row r="18" spans="1:14" s="1" customFormat="1" x14ac:dyDescent="0.25">
      <c r="A18" s="1" t="s">
        <v>48</v>
      </c>
      <c r="E18" s="2"/>
      <c r="F18" s="19"/>
      <c r="G18" s="3">
        <v>100000</v>
      </c>
      <c r="H18" s="3"/>
      <c r="I18" s="3">
        <v>0</v>
      </c>
      <c r="J18" s="3"/>
      <c r="K18" s="3">
        <f>G18-I18</f>
        <v>100000</v>
      </c>
      <c r="L18" s="3"/>
      <c r="M18" s="1" t="s">
        <v>95</v>
      </c>
      <c r="N18" s="22"/>
    </row>
    <row r="19" spans="1:14" s="1" customFormat="1" x14ac:dyDescent="0.25">
      <c r="B19" s="1" t="s">
        <v>80</v>
      </c>
      <c r="E19" s="2"/>
      <c r="F19" s="19"/>
      <c r="G19" s="3"/>
      <c r="H19" s="3"/>
      <c r="I19" s="3"/>
      <c r="J19" s="3"/>
      <c r="K19" s="3"/>
      <c r="L19" s="3"/>
      <c r="N19" s="22"/>
    </row>
    <row r="20" spans="1:14" s="1" customFormat="1" x14ac:dyDescent="0.25">
      <c r="A20" s="1" t="s">
        <v>49</v>
      </c>
      <c r="E20" s="2">
        <v>10702990</v>
      </c>
      <c r="F20" s="19"/>
      <c r="G20" s="3">
        <v>837282.77</v>
      </c>
      <c r="H20" s="3"/>
      <c r="I20" s="3">
        <v>0</v>
      </c>
      <c r="J20" s="3"/>
      <c r="K20" s="3">
        <f>G20-I20</f>
        <v>837282.77</v>
      </c>
      <c r="L20" s="3"/>
      <c r="N20" s="22" t="s">
        <v>96</v>
      </c>
    </row>
    <row r="21" spans="1:14" s="1" customFormat="1" x14ac:dyDescent="0.25">
      <c r="B21" s="1" t="s">
        <v>82</v>
      </c>
      <c r="E21" s="2"/>
      <c r="F21" s="19"/>
      <c r="G21" s="3"/>
      <c r="H21" s="3"/>
      <c r="I21" s="3"/>
      <c r="J21" s="3"/>
      <c r="K21" s="3"/>
      <c r="L21" s="3"/>
      <c r="N21" s="22"/>
    </row>
    <row r="22" spans="1:14" s="1" customFormat="1" x14ac:dyDescent="0.25">
      <c r="A22" s="1" t="s">
        <v>50</v>
      </c>
      <c r="E22" s="2">
        <v>10703010</v>
      </c>
      <c r="F22" s="19"/>
      <c r="G22" s="3">
        <v>425423.95</v>
      </c>
      <c r="H22" s="3"/>
      <c r="I22" s="3">
        <v>34762</v>
      </c>
      <c r="J22" s="3"/>
      <c r="K22" s="3">
        <f>G22-I22</f>
        <v>390661.95</v>
      </c>
      <c r="L22" s="3"/>
      <c r="M22" s="1" t="s">
        <v>215</v>
      </c>
      <c r="N22" s="22"/>
    </row>
    <row r="23" spans="1:14" s="1" customFormat="1" x14ac:dyDescent="0.25">
      <c r="A23" s="1" t="s">
        <v>51</v>
      </c>
      <c r="E23" s="2">
        <v>10703010</v>
      </c>
      <c r="F23" s="19"/>
      <c r="G23" s="3">
        <v>110216.37</v>
      </c>
      <c r="H23" s="3"/>
      <c r="I23" s="3">
        <v>0</v>
      </c>
      <c r="J23" s="3"/>
      <c r="K23" s="3">
        <f>G23-I23</f>
        <v>110216.37</v>
      </c>
      <c r="L23" s="3"/>
      <c r="M23" s="1" t="s">
        <v>97</v>
      </c>
      <c r="N23" s="22"/>
    </row>
    <row r="24" spans="1:14" s="1" customFormat="1" x14ac:dyDescent="0.25">
      <c r="B24" s="1" t="s">
        <v>81</v>
      </c>
      <c r="E24" s="2"/>
      <c r="F24" s="19"/>
      <c r="G24" s="3"/>
      <c r="H24" s="3"/>
      <c r="I24" s="3"/>
      <c r="J24" s="3"/>
      <c r="K24" s="3"/>
      <c r="L24" s="3"/>
      <c r="N24" s="22"/>
    </row>
    <row r="25" spans="1:14" s="1" customFormat="1" x14ac:dyDescent="0.25">
      <c r="A25" s="1" t="s">
        <v>52</v>
      </c>
      <c r="E25" s="2">
        <v>10704010</v>
      </c>
      <c r="F25" s="19"/>
      <c r="G25" s="3">
        <v>500000</v>
      </c>
      <c r="H25" s="3"/>
      <c r="I25" s="3">
        <v>0</v>
      </c>
      <c r="J25" s="3"/>
      <c r="K25" s="3">
        <f>G25-I25</f>
        <v>500000</v>
      </c>
      <c r="L25" s="3"/>
      <c r="M25" s="1" t="s">
        <v>98</v>
      </c>
      <c r="N25" s="22"/>
    </row>
    <row r="26" spans="1:14" s="1" customFormat="1" x14ac:dyDescent="0.25">
      <c r="A26" s="1" t="s">
        <v>91</v>
      </c>
      <c r="E26" s="2" t="s">
        <v>0</v>
      </c>
      <c r="F26" s="19"/>
      <c r="G26" s="3">
        <v>3000000</v>
      </c>
      <c r="H26" s="3"/>
      <c r="I26" s="3">
        <v>0</v>
      </c>
      <c r="J26" s="3"/>
      <c r="K26" s="3">
        <f>G26-I26</f>
        <v>3000000</v>
      </c>
      <c r="L26" s="3"/>
      <c r="N26" s="22" t="s">
        <v>96</v>
      </c>
    </row>
    <row r="27" spans="1:14" s="1" customFormat="1" x14ac:dyDescent="0.25">
      <c r="B27" s="1" t="s">
        <v>83</v>
      </c>
      <c r="E27" s="2">
        <v>10704990</v>
      </c>
      <c r="F27" s="19"/>
      <c r="G27" s="3"/>
      <c r="H27" s="3"/>
      <c r="I27" s="3"/>
      <c r="J27" s="3"/>
      <c r="K27" s="3"/>
      <c r="L27" s="3"/>
      <c r="N27" s="22"/>
    </row>
    <row r="28" spans="1:14" s="1" customFormat="1" x14ac:dyDescent="0.25">
      <c r="A28" s="1" t="s">
        <v>53</v>
      </c>
      <c r="E28" s="24"/>
      <c r="F28" s="19"/>
      <c r="G28" s="3">
        <v>1672764.71</v>
      </c>
      <c r="H28" s="3"/>
      <c r="I28" s="3">
        <v>0</v>
      </c>
      <c r="J28" s="3"/>
      <c r="K28" s="3">
        <f>G28-I28</f>
        <v>1672764.71</v>
      </c>
      <c r="L28" s="3"/>
      <c r="N28" s="28" t="s">
        <v>102</v>
      </c>
    </row>
    <row r="29" spans="1:14" s="1" customFormat="1" x14ac:dyDescent="0.25">
      <c r="A29" s="1" t="s">
        <v>54</v>
      </c>
      <c r="E29" s="2"/>
      <c r="F29" s="19"/>
      <c r="G29" s="3">
        <v>68165.77</v>
      </c>
      <c r="H29" s="3"/>
      <c r="I29" s="3">
        <v>0</v>
      </c>
      <c r="J29" s="3"/>
      <c r="K29" s="3">
        <f>G29-I29</f>
        <v>68165.77</v>
      </c>
      <c r="L29" s="3"/>
      <c r="M29" s="1" t="s">
        <v>97</v>
      </c>
      <c r="N29" s="22"/>
    </row>
    <row r="30" spans="1:14" s="1" customFormat="1" x14ac:dyDescent="0.25">
      <c r="A30" s="1" t="s">
        <v>55</v>
      </c>
      <c r="E30" s="2"/>
      <c r="F30" s="19"/>
      <c r="G30" s="3">
        <v>218199.98</v>
      </c>
      <c r="H30" s="3"/>
      <c r="I30" s="3">
        <v>0</v>
      </c>
      <c r="J30" s="3"/>
      <c r="K30" s="3">
        <f>G30-I30</f>
        <v>218199.98</v>
      </c>
      <c r="L30" s="3"/>
      <c r="M30" s="1" t="s">
        <v>97</v>
      </c>
      <c r="N30" s="22"/>
    </row>
    <row r="31" spans="1:14" s="1" customFormat="1" x14ac:dyDescent="0.25">
      <c r="A31" s="1" t="s">
        <v>92</v>
      </c>
      <c r="E31" s="2"/>
      <c r="F31" s="19"/>
      <c r="G31" s="3">
        <v>10696.16</v>
      </c>
      <c r="H31" s="3"/>
      <c r="I31" s="3">
        <v>0</v>
      </c>
      <c r="J31" s="3"/>
      <c r="K31" s="3">
        <f>G31-I31</f>
        <v>10696.16</v>
      </c>
      <c r="L31" s="3"/>
      <c r="M31" s="1" t="s">
        <v>97</v>
      </c>
      <c r="N31" s="22"/>
    </row>
    <row r="32" spans="1:14" s="1" customFormat="1" x14ac:dyDescent="0.25">
      <c r="C32" s="1" t="s">
        <v>100</v>
      </c>
      <c r="E32" s="2"/>
      <c r="F32" s="19"/>
      <c r="G32" s="3">
        <v>368218.82</v>
      </c>
      <c r="H32" s="3"/>
      <c r="I32" s="3">
        <v>0</v>
      </c>
      <c r="J32" s="3"/>
      <c r="K32" s="3">
        <f>G32-I32</f>
        <v>368218.82</v>
      </c>
      <c r="L32" s="3"/>
      <c r="M32" s="1" t="s">
        <v>98</v>
      </c>
      <c r="N32" s="22"/>
    </row>
    <row r="33" spans="1:14" s="1" customFormat="1" x14ac:dyDescent="0.25">
      <c r="A33" s="1" t="s">
        <v>99</v>
      </c>
      <c r="E33" s="2"/>
      <c r="F33" s="19"/>
      <c r="L33" s="3"/>
      <c r="M33" s="1" t="s">
        <v>101</v>
      </c>
      <c r="N33" s="22"/>
    </row>
    <row r="34" spans="1:14" s="1" customFormat="1" x14ac:dyDescent="0.25">
      <c r="A34" s="1" t="s">
        <v>93</v>
      </c>
      <c r="E34" s="2"/>
      <c r="F34" s="19"/>
      <c r="G34" s="3">
        <v>0</v>
      </c>
      <c r="H34" s="3"/>
      <c r="I34" s="3">
        <v>0</v>
      </c>
      <c r="J34" s="3"/>
      <c r="K34" s="3">
        <f>G34-I34</f>
        <v>0</v>
      </c>
      <c r="L34" s="3"/>
      <c r="M34" s="1" t="s">
        <v>97</v>
      </c>
      <c r="N34" s="22" t="s">
        <v>103</v>
      </c>
    </row>
    <row r="35" spans="1:14" s="1" customFormat="1" x14ac:dyDescent="0.25">
      <c r="A35" s="1" t="s">
        <v>56</v>
      </c>
      <c r="E35" s="2"/>
      <c r="F35" s="19"/>
      <c r="G35" s="3">
        <v>703010.61</v>
      </c>
      <c r="H35" s="3"/>
      <c r="I35" s="3">
        <v>0</v>
      </c>
      <c r="J35" s="3"/>
      <c r="K35" s="3">
        <f>G35-I35</f>
        <v>703010.61</v>
      </c>
      <c r="L35" s="3"/>
      <c r="M35" s="1" t="s">
        <v>98</v>
      </c>
      <c r="N35" s="22" t="s">
        <v>112</v>
      </c>
    </row>
    <row r="36" spans="1:14" s="1" customFormat="1" x14ac:dyDescent="0.25">
      <c r="B36" s="1" t="s">
        <v>84</v>
      </c>
      <c r="E36" s="2"/>
      <c r="F36" s="19"/>
      <c r="G36" s="3"/>
      <c r="H36" s="3"/>
      <c r="I36" s="3"/>
      <c r="J36" s="3"/>
      <c r="K36" s="3"/>
      <c r="L36" s="3"/>
      <c r="N36" s="22"/>
    </row>
    <row r="37" spans="1:14" s="1" customFormat="1" x14ac:dyDescent="0.25">
      <c r="A37" s="1" t="s">
        <v>57</v>
      </c>
      <c r="E37" s="2">
        <v>10705030</v>
      </c>
      <c r="F37" s="19"/>
      <c r="G37" s="3">
        <v>230300</v>
      </c>
      <c r="H37" s="3"/>
      <c r="I37" s="3">
        <v>0</v>
      </c>
      <c r="J37" s="3"/>
      <c r="K37" s="3">
        <f>G37-I37</f>
        <v>230300</v>
      </c>
      <c r="L37" s="3"/>
      <c r="M37" s="1" t="s">
        <v>98</v>
      </c>
      <c r="N37" s="22"/>
    </row>
    <row r="38" spans="1:14" s="1" customFormat="1" x14ac:dyDescent="0.25">
      <c r="B38" s="1" t="s">
        <v>86</v>
      </c>
      <c r="E38" s="2"/>
      <c r="F38" s="19"/>
      <c r="G38" s="3"/>
      <c r="H38" s="3"/>
      <c r="I38" s="3"/>
      <c r="J38" s="3"/>
      <c r="K38" s="3"/>
      <c r="L38" s="3"/>
      <c r="N38" s="22"/>
    </row>
    <row r="39" spans="1:14" s="1" customFormat="1" x14ac:dyDescent="0.25">
      <c r="A39" s="1" t="s">
        <v>85</v>
      </c>
      <c r="E39" s="2">
        <v>10705040</v>
      </c>
      <c r="F39" s="19"/>
      <c r="G39" s="3">
        <v>627297.5</v>
      </c>
      <c r="H39" s="3"/>
      <c r="I39" s="3">
        <v>0</v>
      </c>
      <c r="J39" s="3"/>
      <c r="K39" s="3">
        <f>G39-I39</f>
        <v>627297.5</v>
      </c>
      <c r="L39" s="3"/>
      <c r="M39" s="1" t="s">
        <v>97</v>
      </c>
      <c r="N39" s="22"/>
    </row>
    <row r="40" spans="1:14" s="1" customFormat="1" x14ac:dyDescent="0.25">
      <c r="B40" s="1" t="s">
        <v>87</v>
      </c>
      <c r="E40" s="2">
        <v>10705090</v>
      </c>
      <c r="F40" s="19"/>
      <c r="G40" s="3"/>
      <c r="H40" s="3"/>
      <c r="I40" s="3"/>
      <c r="J40" s="3"/>
      <c r="K40" s="3"/>
      <c r="L40" s="3"/>
      <c r="N40" s="22"/>
    </row>
    <row r="41" spans="1:14" s="1" customFormat="1" x14ac:dyDescent="0.25">
      <c r="A41" s="1" t="s">
        <v>58</v>
      </c>
      <c r="E41" s="24"/>
      <c r="F41" s="19"/>
      <c r="G41" s="3">
        <v>350000</v>
      </c>
      <c r="H41" s="3"/>
      <c r="I41" s="3">
        <v>0</v>
      </c>
      <c r="J41" s="3"/>
      <c r="K41" s="3">
        <f>G41-I41</f>
        <v>350000</v>
      </c>
      <c r="L41" s="3"/>
      <c r="M41" s="1" t="s">
        <v>97</v>
      </c>
      <c r="N41" s="22"/>
    </row>
    <row r="42" spans="1:14" s="1" customFormat="1" x14ac:dyDescent="0.25">
      <c r="C42" s="20" t="s">
        <v>109</v>
      </c>
      <c r="D42" s="20"/>
      <c r="E42" s="2"/>
      <c r="F42" s="19"/>
      <c r="G42" s="3">
        <v>63561</v>
      </c>
      <c r="H42" s="3"/>
      <c r="I42" s="3">
        <v>0</v>
      </c>
      <c r="J42" s="3"/>
      <c r="K42" s="3">
        <f>G42-I42</f>
        <v>63561</v>
      </c>
      <c r="L42" s="3"/>
      <c r="M42" s="1" t="s">
        <v>94</v>
      </c>
      <c r="N42" s="22"/>
    </row>
    <row r="43" spans="1:14" s="1" customFormat="1" x14ac:dyDescent="0.25">
      <c r="C43" s="20"/>
      <c r="D43" s="20" t="s">
        <v>110</v>
      </c>
      <c r="E43" s="2"/>
      <c r="F43" s="19"/>
      <c r="G43" s="3"/>
      <c r="H43" s="3"/>
      <c r="I43" s="3"/>
      <c r="J43" s="3"/>
      <c r="K43" s="3"/>
      <c r="L43" s="3"/>
      <c r="N43" s="22"/>
    </row>
    <row r="44" spans="1:14" s="1" customFormat="1" x14ac:dyDescent="0.25">
      <c r="A44" s="1" t="s">
        <v>106</v>
      </c>
      <c r="E44" s="2"/>
      <c r="F44" s="19"/>
      <c r="G44" s="3">
        <v>176500</v>
      </c>
      <c r="H44" s="3"/>
      <c r="I44" s="3">
        <v>0</v>
      </c>
      <c r="J44" s="3"/>
      <c r="K44" s="3">
        <f>G44-I44</f>
        <v>176500</v>
      </c>
      <c r="L44" s="3"/>
      <c r="M44" s="1" t="s">
        <v>97</v>
      </c>
      <c r="N44" s="22"/>
    </row>
    <row r="45" spans="1:14" s="1" customFormat="1" x14ac:dyDescent="0.25">
      <c r="D45" s="1" t="s">
        <v>105</v>
      </c>
      <c r="E45" s="2"/>
      <c r="F45" s="19"/>
      <c r="G45" s="3"/>
      <c r="H45" s="3"/>
      <c r="I45" s="3"/>
      <c r="J45" s="3"/>
      <c r="K45" s="3"/>
      <c r="L45" s="3"/>
      <c r="N45" s="22"/>
    </row>
    <row r="46" spans="1:14" s="1" customFormat="1" x14ac:dyDescent="0.25">
      <c r="A46" s="1" t="s">
        <v>107</v>
      </c>
      <c r="E46" s="2"/>
      <c r="F46" s="19"/>
      <c r="G46" s="3">
        <v>65078</v>
      </c>
      <c r="H46" s="3"/>
      <c r="I46" s="3">
        <v>0</v>
      </c>
      <c r="J46" s="3"/>
      <c r="K46" s="3">
        <f>G46-I46</f>
        <v>65078</v>
      </c>
      <c r="L46" s="3"/>
      <c r="M46" s="1" t="s">
        <v>98</v>
      </c>
      <c r="N46" s="22"/>
    </row>
    <row r="47" spans="1:14" s="1" customFormat="1" x14ac:dyDescent="0.25">
      <c r="C47" s="1" t="s">
        <v>104</v>
      </c>
      <c r="D47" s="1" t="s">
        <v>108</v>
      </c>
      <c r="E47" s="2"/>
      <c r="F47" s="19"/>
      <c r="G47" s="3"/>
      <c r="H47" s="3"/>
      <c r="I47" s="3"/>
      <c r="J47" s="3"/>
      <c r="K47" s="3"/>
      <c r="L47" s="3"/>
      <c r="N47" s="22"/>
    </row>
    <row r="48" spans="1:14" s="1" customFormat="1" x14ac:dyDescent="0.25">
      <c r="B48" s="1" t="s">
        <v>88</v>
      </c>
      <c r="E48" s="2">
        <v>10705140</v>
      </c>
      <c r="F48" s="19"/>
      <c r="G48" s="3"/>
      <c r="H48" s="3"/>
      <c r="I48" s="3"/>
      <c r="J48" s="3"/>
      <c r="K48" s="3"/>
      <c r="L48" s="3"/>
      <c r="N48" s="22"/>
    </row>
    <row r="49" spans="1:14" s="1" customFormat="1" x14ac:dyDescent="0.25">
      <c r="A49" s="1" t="s">
        <v>58</v>
      </c>
      <c r="E49" s="24"/>
      <c r="F49" s="19"/>
      <c r="G49" s="3">
        <v>1000000</v>
      </c>
      <c r="H49" s="3"/>
      <c r="I49" s="3">
        <v>0</v>
      </c>
      <c r="J49" s="3"/>
      <c r="K49" s="3">
        <f>G49-I49</f>
        <v>1000000</v>
      </c>
      <c r="L49" s="3"/>
      <c r="M49" s="1" t="s">
        <v>94</v>
      </c>
      <c r="N49" s="22"/>
    </row>
    <row r="50" spans="1:14" s="1" customFormat="1" x14ac:dyDescent="0.25">
      <c r="A50" s="1" t="s">
        <v>59</v>
      </c>
      <c r="E50" s="2"/>
      <c r="F50" s="19"/>
      <c r="G50" s="3">
        <v>600000</v>
      </c>
      <c r="H50" s="3"/>
      <c r="I50" s="3">
        <v>0</v>
      </c>
      <c r="J50" s="3"/>
      <c r="K50" s="3">
        <f>G50-I50</f>
        <v>600000</v>
      </c>
      <c r="L50" s="3"/>
      <c r="M50" s="1" t="s">
        <v>98</v>
      </c>
      <c r="N50" s="22"/>
    </row>
    <row r="51" spans="1:14" s="1" customFormat="1" x14ac:dyDescent="0.25">
      <c r="A51" s="1" t="s">
        <v>60</v>
      </c>
      <c r="E51" s="2"/>
      <c r="F51" s="19"/>
      <c r="G51" s="3">
        <v>300000</v>
      </c>
      <c r="H51" s="3"/>
      <c r="I51" s="3">
        <v>0</v>
      </c>
      <c r="J51" s="3"/>
      <c r="K51" s="3">
        <f>G51-I51</f>
        <v>300000</v>
      </c>
      <c r="L51" s="3"/>
      <c r="M51" s="1" t="s">
        <v>95</v>
      </c>
      <c r="N51" s="22"/>
    </row>
    <row r="52" spans="1:14" s="1" customFormat="1" x14ac:dyDescent="0.25">
      <c r="A52" s="1" t="s">
        <v>57</v>
      </c>
      <c r="E52" s="2"/>
      <c r="F52" s="19"/>
      <c r="G52" s="3">
        <v>252000</v>
      </c>
      <c r="H52" s="3"/>
      <c r="I52" s="3">
        <v>0</v>
      </c>
      <c r="J52" s="3"/>
      <c r="K52" s="3">
        <f>G52-I52</f>
        <v>252000</v>
      </c>
      <c r="L52" s="3"/>
      <c r="M52" s="1" t="s">
        <v>98</v>
      </c>
      <c r="N52" s="22"/>
    </row>
    <row r="53" spans="1:14" s="1" customFormat="1" x14ac:dyDescent="0.25">
      <c r="B53" s="1" t="s">
        <v>89</v>
      </c>
      <c r="E53" s="2"/>
      <c r="F53" s="19"/>
      <c r="G53" s="3"/>
      <c r="H53" s="3"/>
      <c r="I53" s="3"/>
      <c r="J53" s="3"/>
      <c r="K53" s="3"/>
      <c r="L53" s="3"/>
      <c r="N53" s="22"/>
    </row>
    <row r="54" spans="1:14" s="1" customFormat="1" x14ac:dyDescent="0.25">
      <c r="A54" s="1" t="s">
        <v>61</v>
      </c>
      <c r="E54" s="2">
        <v>10706010</v>
      </c>
      <c r="F54" s="19"/>
      <c r="G54" s="3">
        <v>3500000</v>
      </c>
      <c r="H54" s="3"/>
      <c r="I54" s="3">
        <v>0</v>
      </c>
      <c r="J54" s="3"/>
      <c r="K54" s="3">
        <f>G54-I54</f>
        <v>3500000</v>
      </c>
      <c r="L54" s="3"/>
      <c r="M54" s="1" t="s">
        <v>94</v>
      </c>
      <c r="N54" s="22"/>
    </row>
    <row r="55" spans="1:14" s="1" customFormat="1" x14ac:dyDescent="0.25">
      <c r="B55" s="1" t="s">
        <v>90</v>
      </c>
      <c r="E55" s="2"/>
      <c r="F55" s="19"/>
      <c r="G55" s="3"/>
      <c r="H55" s="3"/>
      <c r="I55" s="3"/>
      <c r="J55" s="3"/>
      <c r="K55" s="3"/>
      <c r="L55" s="3"/>
      <c r="N55" s="22"/>
    </row>
    <row r="56" spans="1:14" s="1" customFormat="1" x14ac:dyDescent="0.25">
      <c r="A56" s="1" t="s">
        <v>62</v>
      </c>
      <c r="E56" s="2">
        <v>10707010</v>
      </c>
      <c r="F56" s="19"/>
      <c r="G56" s="3">
        <v>500000</v>
      </c>
      <c r="H56" s="3"/>
      <c r="I56" s="3">
        <v>0</v>
      </c>
      <c r="J56" s="3"/>
      <c r="K56" s="3">
        <f>G56-I56</f>
        <v>500000</v>
      </c>
      <c r="L56" s="3"/>
      <c r="M56" s="1" t="s">
        <v>98</v>
      </c>
      <c r="N56" s="22"/>
    </row>
    <row r="57" spans="1:14" s="1" customFormat="1" x14ac:dyDescent="0.25">
      <c r="E57" s="2"/>
      <c r="F57" s="19"/>
      <c r="G57" s="3"/>
      <c r="H57" s="3"/>
      <c r="I57" s="3"/>
      <c r="J57" s="3"/>
      <c r="K57" s="3"/>
      <c r="L57" s="3"/>
      <c r="N57" s="22"/>
    </row>
    <row r="63" spans="1:14" x14ac:dyDescent="0.2">
      <c r="G63" s="228"/>
      <c r="H63" s="228"/>
      <c r="I63" s="228"/>
    </row>
    <row r="64" spans="1:14" x14ac:dyDescent="0.2">
      <c r="G64" s="228"/>
      <c r="H64" s="228"/>
      <c r="I64" s="228"/>
    </row>
  </sheetData>
  <mergeCells count="10">
    <mergeCell ref="G64:I64"/>
    <mergeCell ref="A2:P2"/>
    <mergeCell ref="A3:P3"/>
    <mergeCell ref="A4:P4"/>
    <mergeCell ref="A6:P6"/>
    <mergeCell ref="A7:P7"/>
    <mergeCell ref="A8:P8"/>
    <mergeCell ref="A9:P9"/>
    <mergeCell ref="M12:N12"/>
    <mergeCell ref="G63:I63"/>
  </mergeCells>
  <pageMargins left="0.3" right="0.7" top="0.8" bottom="0.75" header="0.3" footer="0.3"/>
  <pageSetup paperSize="9" orientation="landscape" horizontalDpi="0" verticalDpi="0" r:id="rId1"/>
  <headerFooter>
    <oddFooter>&amp;C&amp;9-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F3" sqref="F3"/>
    </sheetView>
  </sheetViews>
  <sheetFormatPr defaultRowHeight="12.75" x14ac:dyDescent="0.2"/>
  <sheetData>
    <row r="1" spans="1:6" x14ac:dyDescent="0.2">
      <c r="A1" t="s">
        <v>589</v>
      </c>
    </row>
    <row r="2" spans="1:6" x14ac:dyDescent="0.2">
      <c r="A2" t="s">
        <v>590</v>
      </c>
      <c r="F2" s="155">
        <v>43951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GF</vt:lpstr>
      <vt:lpstr>per year</vt:lpstr>
      <vt:lpstr>checking</vt:lpstr>
      <vt:lpstr>cont</vt:lpstr>
      <vt:lpstr>LDR</vt:lpstr>
      <vt:lpstr>LDRRMF</vt:lpstr>
      <vt:lpstr>completed 2020</vt:lpstr>
      <vt:lpstr>GF!Print_Area</vt:lpstr>
      <vt:lpstr>'per year'!Print_Area</vt:lpstr>
      <vt:lpstr>cont!Print_Titles</vt:lpstr>
      <vt:lpstr>GF!Print_Titles</vt:lpstr>
      <vt:lpstr>LDR!Print_Titles</vt:lpstr>
      <vt:lpstr>LDRRMF!Print_Titles</vt:lpstr>
      <vt:lpstr>'per year'!Print_Titles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PB-092</dc:creator>
  <cp:lastModifiedBy>User</cp:lastModifiedBy>
  <cp:lastPrinted>2021-01-17T09:23:13Z</cp:lastPrinted>
  <dcterms:created xsi:type="dcterms:W3CDTF">2019-03-07T01:25:00Z</dcterms:created>
  <dcterms:modified xsi:type="dcterms:W3CDTF">2021-01-21T02:48:05Z</dcterms:modified>
</cp:coreProperties>
</file>