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-092\Dropbox\val Files\SAAOB\2018\Dec\SAAOB 2018- final\"/>
    </mc:Choice>
  </mc:AlternateContent>
  <bookViews>
    <workbookView xWindow="0" yWindow="-15" windowWidth="10245" windowHeight="8265"/>
  </bookViews>
  <sheets>
    <sheet name="DEC2018" sheetId="1" r:id="rId1"/>
    <sheet name="sb1" sheetId="7" r:id="rId2"/>
    <sheet name="sb2" sheetId="6" r:id="rId3"/>
    <sheet name="sb3" sheetId="5" r:id="rId4"/>
    <sheet name="sb4" sheetId="4" r:id="rId5"/>
    <sheet name="udit" sheetId="3" r:id="rId6"/>
    <sheet name="Sheet1" sheetId="2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Print_Titles" localSheetId="0">'DEC2018'!$9:$10</definedName>
  </definedNames>
  <calcPr calcId="162913"/>
  <fileRecoveryPr autoRecover="0"/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P826" i="1" l="1"/>
  <c r="P780" i="1"/>
  <c r="P822" i="1"/>
  <c r="P1842" i="1" l="1"/>
  <c r="L809" i="1"/>
  <c r="P809" i="1" s="1"/>
  <c r="H1793" i="1" l="1"/>
  <c r="J1793" i="1"/>
  <c r="L1793" i="1"/>
  <c r="N1793" i="1"/>
  <c r="P1797" i="1"/>
  <c r="P1793" i="1" s="1"/>
  <c r="P1756" i="1" l="1"/>
  <c r="P1755" i="1"/>
  <c r="P1754" i="1"/>
  <c r="P1753" i="1"/>
  <c r="P1752" i="1"/>
  <c r="P1751" i="1"/>
  <c r="P1750" i="1"/>
  <c r="P1749" i="1"/>
  <c r="P1747" i="1"/>
  <c r="P1746" i="1"/>
  <c r="P1745" i="1"/>
  <c r="P1744" i="1"/>
  <c r="P1743" i="1"/>
  <c r="P1742" i="1"/>
  <c r="P1741" i="1"/>
  <c r="P1740" i="1"/>
  <c r="P1737" i="1"/>
  <c r="P1736" i="1"/>
  <c r="P1735" i="1"/>
  <c r="P1734" i="1"/>
  <c r="P1733" i="1"/>
  <c r="P1732" i="1"/>
  <c r="P1731" i="1"/>
  <c r="P1730" i="1"/>
  <c r="P1728" i="1"/>
  <c r="P1727" i="1"/>
  <c r="P1726" i="1"/>
  <c r="P1725" i="1"/>
  <c r="P1723" i="1"/>
  <c r="P1722" i="1"/>
  <c r="P1721" i="1"/>
  <c r="P1720" i="1"/>
  <c r="P1719" i="1"/>
  <c r="P1718" i="1"/>
  <c r="P1717" i="1"/>
  <c r="P1716" i="1"/>
  <c r="P1715" i="1"/>
  <c r="P1714" i="1"/>
  <c r="P1711" i="1"/>
  <c r="P1710" i="1"/>
  <c r="P1709" i="1"/>
  <c r="P1708" i="1"/>
  <c r="P1707" i="1"/>
  <c r="P1706" i="1"/>
  <c r="P1704" i="1"/>
  <c r="P1703" i="1"/>
  <c r="P1702" i="1"/>
  <c r="P1701" i="1"/>
  <c r="P1700" i="1"/>
  <c r="P1699" i="1"/>
  <c r="P1698" i="1"/>
  <c r="P1697" i="1"/>
  <c r="P1696" i="1"/>
  <c r="P1695" i="1"/>
  <c r="P1693" i="1"/>
  <c r="P1692" i="1"/>
  <c r="P1691" i="1"/>
  <c r="P1690" i="1"/>
  <c r="P1689" i="1"/>
  <c r="P1688" i="1"/>
  <c r="P1687" i="1"/>
  <c r="P1686" i="1"/>
  <c r="P1685" i="1"/>
  <c r="P1684" i="1"/>
  <c r="P1681" i="1"/>
  <c r="P1680" i="1"/>
  <c r="P1677" i="1"/>
  <c r="P1674" i="1"/>
  <c r="P1673" i="1"/>
  <c r="P1672" i="1"/>
  <c r="P1671" i="1"/>
  <c r="P1670" i="1"/>
  <c r="P1669" i="1"/>
  <c r="P1666" i="1"/>
  <c r="P1665" i="1"/>
  <c r="P1664" i="1"/>
  <c r="P1663" i="1"/>
  <c r="P1662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38" i="1"/>
  <c r="Q1677" i="1" l="1"/>
  <c r="Q1674" i="1"/>
  <c r="Q1658" i="1"/>
  <c r="Q1651" i="1"/>
  <c r="Q1650" i="1"/>
  <c r="Q1649" i="1"/>
  <c r="Q1648" i="1"/>
  <c r="Q1647" i="1"/>
  <c r="Q1646" i="1"/>
  <c r="Q1644" i="1"/>
  <c r="Q1642" i="1"/>
  <c r="Q1641" i="1"/>
  <c r="Q1638" i="1"/>
  <c r="P805" i="1"/>
  <c r="P804" i="1"/>
  <c r="N804" i="1"/>
  <c r="N805" i="1"/>
  <c r="N376" i="1"/>
  <c r="P376" i="1"/>
  <c r="P777" i="1" l="1"/>
  <c r="P776" i="1"/>
  <c r="L796" i="1" l="1"/>
  <c r="P796" i="1" s="1"/>
  <c r="L782" i="1"/>
  <c r="P782" i="1" s="1"/>
  <c r="L784" i="1"/>
  <c r="P784" i="1" s="1"/>
  <c r="H49" i="1" l="1"/>
  <c r="P884" i="1"/>
  <c r="P885" i="1"/>
  <c r="P1901" i="1" l="1"/>
  <c r="P1900" i="1"/>
  <c r="P1899" i="1"/>
  <c r="P1898" i="1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K15" i="4"/>
  <c r="I15" i="4"/>
  <c r="G15" i="4"/>
  <c r="O12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4" i="4"/>
  <c r="M13" i="4"/>
  <c r="M11" i="4"/>
  <c r="M10" i="4"/>
  <c r="M9" i="4"/>
  <c r="M8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4" i="4"/>
  <c r="O13" i="4"/>
  <c r="O11" i="4"/>
  <c r="O10" i="4"/>
  <c r="O9" i="4"/>
  <c r="O8" i="4"/>
  <c r="M7" i="4"/>
  <c r="M15" i="4" s="1"/>
  <c r="O7" i="4"/>
  <c r="O15" i="4" l="1"/>
  <c r="L65" i="7"/>
  <c r="J65" i="7"/>
  <c r="H65" i="7"/>
  <c r="H66" i="7" s="1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0" i="7"/>
  <c r="P9" i="7"/>
  <c r="N65" i="7"/>
  <c r="P8" i="7"/>
  <c r="P7" i="7"/>
  <c r="P6" i="7"/>
  <c r="N70" i="6"/>
  <c r="L70" i="6"/>
  <c r="J70" i="6"/>
  <c r="H70" i="6"/>
  <c r="H71" i="6" s="1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3" i="6"/>
  <c r="P52" i="6"/>
  <c r="P49" i="6"/>
  <c r="P48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O72" i="5"/>
  <c r="M72" i="5"/>
  <c r="M73" i="5" s="1"/>
  <c r="K72" i="5"/>
  <c r="I72" i="5"/>
  <c r="G72" i="5"/>
  <c r="H947" i="1"/>
  <c r="N947" i="1" s="1"/>
  <c r="P947" i="1"/>
  <c r="D3" i="3"/>
  <c r="G73" i="5" l="1"/>
  <c r="M76" i="5"/>
  <c r="G74" i="5"/>
  <c r="I75" i="5"/>
  <c r="I74" i="5"/>
  <c r="I73" i="5"/>
  <c r="J72" i="6"/>
  <c r="J71" i="6"/>
  <c r="J66" i="7"/>
  <c r="J67" i="7"/>
  <c r="P70" i="6"/>
  <c r="P65" i="7"/>
  <c r="P1586" i="1"/>
  <c r="H1586" i="1"/>
  <c r="P1589" i="1"/>
  <c r="H1589" i="1"/>
  <c r="P1588" i="1"/>
  <c r="H1588" i="1"/>
  <c r="B140" i="3"/>
  <c r="J1577" i="1"/>
  <c r="H1577" i="1"/>
  <c r="P1510" i="1"/>
  <c r="H1510" i="1"/>
  <c r="P1500" i="1"/>
  <c r="H1500" i="1"/>
  <c r="N1500" i="1" s="1"/>
  <c r="P1495" i="1"/>
  <c r="H1495" i="1"/>
  <c r="N1495" i="1" s="1"/>
  <c r="J1490" i="1"/>
  <c r="P1490" i="1" s="1"/>
  <c r="H1490" i="1"/>
  <c r="B126" i="3"/>
  <c r="P1425" i="1"/>
  <c r="N1425" i="1"/>
  <c r="H1423" i="1"/>
  <c r="N1423" i="1" s="1"/>
  <c r="N1490" i="1" l="1"/>
  <c r="B127" i="3"/>
  <c r="B128" i="3" s="1"/>
  <c r="B119" i="3"/>
  <c r="B118" i="3"/>
  <c r="B109" i="3"/>
  <c r="B108" i="3"/>
  <c r="B120" i="3" l="1"/>
  <c r="B110" i="3"/>
  <c r="B50" i="3" l="1"/>
  <c r="B47" i="3"/>
  <c r="B48" i="3" s="1"/>
  <c r="B44" i="3"/>
  <c r="B43" i="3"/>
  <c r="B37" i="3"/>
  <c r="B36" i="3"/>
  <c r="B35" i="3"/>
  <c r="B34" i="3"/>
  <c r="B32" i="3"/>
  <c r="B33" i="3" s="1"/>
  <c r="B31" i="3"/>
  <c r="B28" i="3"/>
  <c r="B29" i="3"/>
  <c r="H1558" i="1"/>
  <c r="B136" i="3" s="1"/>
  <c r="H1476" i="1"/>
  <c r="B124" i="3" s="1"/>
  <c r="H1454" i="1"/>
  <c r="H1441" i="1"/>
  <c r="H1435" i="1"/>
  <c r="H1427" i="1"/>
  <c r="H1406" i="1"/>
  <c r="B116" i="3" s="1"/>
  <c r="H1314" i="1"/>
  <c r="H1308" i="1"/>
  <c r="H1302" i="1"/>
  <c r="H1293" i="1"/>
  <c r="H1285" i="1"/>
  <c r="H1275" i="1"/>
  <c r="H1272" i="1"/>
  <c r="H1266" i="1"/>
  <c r="H1258" i="1"/>
  <c r="H1251" i="1"/>
  <c r="H1243" i="1"/>
  <c r="H1234" i="1"/>
  <c r="H1219" i="1"/>
  <c r="H1208" i="1"/>
  <c r="H1201" i="1"/>
  <c r="H1194" i="1"/>
  <c r="H1142" i="1"/>
  <c r="H1125" i="1"/>
  <c r="H1081" i="1"/>
  <c r="H1061" i="1"/>
  <c r="H1042" i="1"/>
  <c r="H1004" i="1"/>
  <c r="H992" i="1"/>
  <c r="H943" i="1"/>
  <c r="B90" i="3" s="1"/>
  <c r="H934" i="1"/>
  <c r="B89" i="3" s="1"/>
  <c r="H924" i="1"/>
  <c r="B88" i="3" s="1"/>
  <c r="H918" i="1"/>
  <c r="B87" i="3" s="1"/>
  <c r="H911" i="1"/>
  <c r="B86" i="3" s="1"/>
  <c r="H900" i="1"/>
  <c r="B85" i="3" s="1"/>
  <c r="H890" i="1"/>
  <c r="B84" i="3" s="1"/>
  <c r="H881" i="1"/>
  <c r="H871" i="1"/>
  <c r="B83" i="3" s="1"/>
  <c r="H811" i="1"/>
  <c r="H773" i="1"/>
  <c r="H715" i="1"/>
  <c r="B77" i="3" s="1"/>
  <c r="H646" i="1"/>
  <c r="H637" i="1" s="1"/>
  <c r="B72" i="3" s="1"/>
  <c r="H622" i="1"/>
  <c r="B71" i="3" s="1"/>
  <c r="H557" i="1"/>
  <c r="B65" i="3" s="1"/>
  <c r="H541" i="1"/>
  <c r="H430" i="1"/>
  <c r="B51" i="3" s="1"/>
  <c r="H437" i="1"/>
  <c r="B52" i="3" s="1"/>
  <c r="H444" i="1"/>
  <c r="B53" i="3" s="1"/>
  <c r="H451" i="1"/>
  <c r="B54" i="3" s="1"/>
  <c r="H352" i="1"/>
  <c r="H363" i="1"/>
  <c r="H375" i="1"/>
  <c r="H379" i="1"/>
  <c r="H386" i="1"/>
  <c r="H391" i="1"/>
  <c r="H255" i="1"/>
  <c r="B20" i="3" s="1"/>
  <c r="B15" i="3"/>
  <c r="J61" i="1"/>
  <c r="P61" i="1" s="1"/>
  <c r="F3" i="3"/>
  <c r="G32" i="3"/>
  <c r="G31" i="3"/>
  <c r="G30" i="3"/>
  <c r="G29" i="3"/>
  <c r="G27" i="3"/>
  <c r="G26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G4" i="3"/>
  <c r="G2" i="3"/>
  <c r="E3" i="3"/>
  <c r="H1078" i="1" l="1"/>
  <c r="H423" i="1"/>
  <c r="B46" i="3"/>
  <c r="B49" i="3"/>
  <c r="B45" i="3"/>
  <c r="B30" i="3"/>
  <c r="H1182" i="1"/>
  <c r="B103" i="3" s="1"/>
  <c r="H342" i="1"/>
  <c r="G3" i="3"/>
  <c r="B38" i="3" l="1"/>
  <c r="C28" i="3"/>
  <c r="G28" i="3" s="1"/>
  <c r="H28" i="3" s="1"/>
  <c r="B42" i="3"/>
  <c r="C42" i="3"/>
  <c r="P49" i="1"/>
  <c r="H204" i="1"/>
  <c r="J204" i="1"/>
  <c r="P204" i="1" s="1"/>
  <c r="H202" i="1"/>
  <c r="J202" i="1"/>
  <c r="H203" i="1"/>
  <c r="J203" i="1"/>
  <c r="P203" i="1" s="1"/>
  <c r="H32" i="3"/>
  <c r="H31" i="3"/>
  <c r="H30" i="3"/>
  <c r="H29" i="3"/>
  <c r="H26" i="3"/>
  <c r="H25" i="3"/>
  <c r="H22" i="3"/>
  <c r="H21" i="3"/>
  <c r="H20" i="3"/>
  <c r="H18" i="3"/>
  <c r="H17" i="3"/>
  <c r="H15" i="3"/>
  <c r="N202" i="1" l="1"/>
  <c r="N203" i="1"/>
  <c r="P202" i="1"/>
  <c r="N49" i="1"/>
  <c r="N204" i="1"/>
  <c r="H1925" i="1" l="1"/>
  <c r="P846" i="1" l="1"/>
  <c r="N846" i="1"/>
  <c r="L846" i="1"/>
  <c r="J846" i="1"/>
  <c r="H846" i="1"/>
  <c r="P23" i="1"/>
  <c r="N23" i="1"/>
  <c r="L23" i="1"/>
  <c r="J23" i="1"/>
  <c r="H23" i="1"/>
  <c r="N198" i="1" l="1"/>
  <c r="L198" i="1"/>
  <c r="J198" i="1"/>
  <c r="H198" i="1"/>
  <c r="P200" i="1"/>
  <c r="P198" i="1" s="1"/>
  <c r="N1577" i="1"/>
  <c r="H1575" i="1"/>
  <c r="J1575" i="1"/>
  <c r="P1575" i="1" s="1"/>
  <c r="P1576" i="1"/>
  <c r="P1574" i="1"/>
  <c r="P1573" i="1"/>
  <c r="P1572" i="1"/>
  <c r="P1571" i="1"/>
  <c r="N539" i="1"/>
  <c r="N538" i="1"/>
  <c r="N537" i="1"/>
  <c r="N536" i="1"/>
  <c r="N535" i="1"/>
  <c r="N534" i="1"/>
  <c r="N533" i="1"/>
  <c r="N531" i="1"/>
  <c r="N530" i="1"/>
  <c r="N529" i="1"/>
  <c r="N528" i="1"/>
  <c r="N527" i="1"/>
  <c r="N526" i="1"/>
  <c r="N525" i="1"/>
  <c r="N524" i="1"/>
  <c r="P539" i="1"/>
  <c r="P538" i="1"/>
  <c r="P537" i="1"/>
  <c r="P536" i="1"/>
  <c r="P535" i="1"/>
  <c r="P534" i="1"/>
  <c r="P533" i="1"/>
  <c r="P531" i="1"/>
  <c r="P530" i="1"/>
  <c r="P529" i="1"/>
  <c r="P528" i="1"/>
  <c r="P527" i="1"/>
  <c r="P526" i="1"/>
  <c r="P525" i="1"/>
  <c r="L524" i="1"/>
  <c r="P524" i="1" s="1"/>
  <c r="P1857" i="1"/>
  <c r="N1857" i="1"/>
  <c r="L1857" i="1"/>
  <c r="J1857" i="1"/>
  <c r="H1857" i="1"/>
  <c r="P1863" i="1"/>
  <c r="N1863" i="1"/>
  <c r="L1863" i="1"/>
  <c r="J1863" i="1"/>
  <c r="H1863" i="1"/>
  <c r="P1844" i="1"/>
  <c r="N1844" i="1"/>
  <c r="L1844" i="1"/>
  <c r="J1844" i="1"/>
  <c r="H1844" i="1"/>
  <c r="P1838" i="1"/>
  <c r="N1838" i="1"/>
  <c r="L1838" i="1"/>
  <c r="J1838" i="1"/>
  <c r="H1838" i="1"/>
  <c r="P1834" i="1"/>
  <c r="N1834" i="1"/>
  <c r="L1834" i="1"/>
  <c r="J1834" i="1"/>
  <c r="H1834" i="1"/>
  <c r="P1821" i="1"/>
  <c r="P1818" i="1"/>
  <c r="N1811" i="1"/>
  <c r="L1811" i="1"/>
  <c r="J1811" i="1"/>
  <c r="H1811" i="1"/>
  <c r="P1577" i="1" l="1"/>
  <c r="N1575" i="1"/>
  <c r="H1809" i="1"/>
  <c r="H1807" i="1" s="1"/>
  <c r="H1896" i="1" s="1"/>
  <c r="H1910" i="1" s="1"/>
  <c r="L1809" i="1"/>
  <c r="L1807" i="1" s="1"/>
  <c r="L1896" i="1" s="1"/>
  <c r="J1809" i="1"/>
  <c r="J1807" i="1" s="1"/>
  <c r="J1896" i="1" s="1"/>
  <c r="N1809" i="1"/>
  <c r="N1807" i="1" s="1"/>
  <c r="N1896" i="1" s="1"/>
  <c r="P1811" i="1"/>
  <c r="P1809" i="1" s="1"/>
  <c r="P1807" i="1" s="1"/>
  <c r="P1896" i="1" s="1"/>
  <c r="N1799" i="1" l="1"/>
  <c r="L1799" i="1"/>
  <c r="J1799" i="1"/>
  <c r="H1799" i="1"/>
  <c r="P1758" i="1"/>
  <c r="P1612" i="1" s="1"/>
  <c r="N1758" i="1"/>
  <c r="N1612" i="1" s="1"/>
  <c r="L1758" i="1"/>
  <c r="L1612" i="1" s="1"/>
  <c r="J1758" i="1"/>
  <c r="J1612" i="1" s="1"/>
  <c r="H1758" i="1"/>
  <c r="H1612" i="1" s="1"/>
  <c r="P1705" i="1"/>
  <c r="Q1705" i="1" s="1"/>
  <c r="N1705" i="1"/>
  <c r="L1705" i="1"/>
  <c r="J1705" i="1"/>
  <c r="H1705" i="1"/>
  <c r="P1694" i="1"/>
  <c r="Q1694" i="1" s="1"/>
  <c r="N1694" i="1"/>
  <c r="L1694" i="1"/>
  <c r="J1694" i="1"/>
  <c r="H1694" i="1"/>
  <c r="P1748" i="1"/>
  <c r="Q1748" i="1" s="1"/>
  <c r="N1748" i="1"/>
  <c r="J1748" i="1"/>
  <c r="H1748" i="1"/>
  <c r="L1748" i="1"/>
  <c r="P1738" i="1"/>
  <c r="Q1738" i="1" s="1"/>
  <c r="N1738" i="1"/>
  <c r="L1738" i="1"/>
  <c r="J1738" i="1"/>
  <c r="H1738" i="1"/>
  <c r="P1729" i="1"/>
  <c r="Q1729" i="1" s="1"/>
  <c r="N1729" i="1"/>
  <c r="L1729" i="1"/>
  <c r="J1729" i="1"/>
  <c r="H1729" i="1"/>
  <c r="N1724" i="1"/>
  <c r="J1724" i="1"/>
  <c r="H1724" i="1"/>
  <c r="P1724" i="1"/>
  <c r="Q1724" i="1" s="1"/>
  <c r="L1724" i="1"/>
  <c r="P1713" i="1"/>
  <c r="Q1713" i="1" s="1"/>
  <c r="N1713" i="1"/>
  <c r="L1713" i="1"/>
  <c r="J1713" i="1"/>
  <c r="H1713" i="1"/>
  <c r="P1683" i="1"/>
  <c r="Q1683" i="1" s="1"/>
  <c r="N1683" i="1"/>
  <c r="L1683" i="1"/>
  <c r="J1683" i="1"/>
  <c r="H1683" i="1"/>
  <c r="P1679" i="1"/>
  <c r="Q1679" i="1" s="1"/>
  <c r="N1679" i="1"/>
  <c r="L1679" i="1"/>
  <c r="J1679" i="1"/>
  <c r="H1679" i="1"/>
  <c r="P1667" i="1"/>
  <c r="Q1667" i="1" s="1"/>
  <c r="N1667" i="1"/>
  <c r="L1667" i="1"/>
  <c r="J1667" i="1"/>
  <c r="H1667" i="1"/>
  <c r="P1661" i="1"/>
  <c r="Q1661" i="1" s="1"/>
  <c r="N1661" i="1"/>
  <c r="L1661" i="1"/>
  <c r="J1661" i="1"/>
  <c r="H1661" i="1"/>
  <c r="P1623" i="1"/>
  <c r="N1623" i="1"/>
  <c r="L1623" i="1"/>
  <c r="J1623" i="1"/>
  <c r="H1623" i="1"/>
  <c r="P1616" i="1"/>
  <c r="N1616" i="1"/>
  <c r="L1616" i="1"/>
  <c r="J1616" i="1"/>
  <c r="H1616" i="1"/>
  <c r="N1600" i="1"/>
  <c r="N1606" i="1" s="1"/>
  <c r="L1600" i="1"/>
  <c r="L1606" i="1" s="1"/>
  <c r="J1600" i="1"/>
  <c r="J1606" i="1" s="1"/>
  <c r="H1600" i="1"/>
  <c r="H1606" i="1" s="1"/>
  <c r="P1603" i="1"/>
  <c r="P1600" i="1" s="1"/>
  <c r="P1606" i="1" s="1"/>
  <c r="P1585" i="1"/>
  <c r="P1591" i="1" s="1"/>
  <c r="N1585" i="1"/>
  <c r="N1591" i="1" s="1"/>
  <c r="L1585" i="1"/>
  <c r="L1591" i="1" s="1"/>
  <c r="J1585" i="1"/>
  <c r="J1591" i="1" s="1"/>
  <c r="H1585" i="1"/>
  <c r="P1570" i="1"/>
  <c r="N1570" i="1"/>
  <c r="L1570" i="1"/>
  <c r="J1570" i="1"/>
  <c r="H1570" i="1"/>
  <c r="P1558" i="1"/>
  <c r="N1558" i="1"/>
  <c r="L1558" i="1"/>
  <c r="J1558" i="1"/>
  <c r="P1543" i="1"/>
  <c r="N1543" i="1"/>
  <c r="L1543" i="1"/>
  <c r="J1543" i="1"/>
  <c r="H1543" i="1"/>
  <c r="N1533" i="1"/>
  <c r="L1533" i="1"/>
  <c r="P1517" i="1"/>
  <c r="N1517" i="1"/>
  <c r="L1517" i="1"/>
  <c r="J1517" i="1"/>
  <c r="H1517" i="1"/>
  <c r="B132" i="3" s="1"/>
  <c r="P1507" i="1"/>
  <c r="N1507" i="1"/>
  <c r="L1507" i="1"/>
  <c r="J1507" i="1"/>
  <c r="H1507" i="1"/>
  <c r="P1498" i="1"/>
  <c r="N1498" i="1"/>
  <c r="L1498" i="1"/>
  <c r="J1498" i="1"/>
  <c r="H1498" i="1"/>
  <c r="B129" i="3" s="1"/>
  <c r="P1476" i="1"/>
  <c r="N1476" i="1"/>
  <c r="L1476" i="1"/>
  <c r="J1476" i="1"/>
  <c r="P1463" i="1"/>
  <c r="N1463" i="1"/>
  <c r="L1463" i="1"/>
  <c r="J1463" i="1"/>
  <c r="H1463" i="1"/>
  <c r="P1454" i="1"/>
  <c r="N1454" i="1"/>
  <c r="L1454" i="1"/>
  <c r="J1454" i="1"/>
  <c r="P1441" i="1"/>
  <c r="N1441" i="1"/>
  <c r="L1441" i="1"/>
  <c r="J1441" i="1"/>
  <c r="P1435" i="1"/>
  <c r="N1435" i="1"/>
  <c r="L1435" i="1"/>
  <c r="J1435" i="1"/>
  <c r="P1434" i="1"/>
  <c r="P1433" i="1"/>
  <c r="P1432" i="1"/>
  <c r="P1431" i="1"/>
  <c r="P1430" i="1"/>
  <c r="P1429" i="1"/>
  <c r="P1428" i="1"/>
  <c r="N1427" i="1"/>
  <c r="L1427" i="1"/>
  <c r="J1427" i="1"/>
  <c r="P1406" i="1"/>
  <c r="N1406" i="1"/>
  <c r="L1406" i="1"/>
  <c r="J1406" i="1"/>
  <c r="N1377" i="1"/>
  <c r="L1377" i="1"/>
  <c r="J1377" i="1"/>
  <c r="H1377" i="1"/>
  <c r="B113" i="3" s="1"/>
  <c r="P1384" i="1"/>
  <c r="P1383" i="1"/>
  <c r="P1382" i="1"/>
  <c r="P1381" i="1"/>
  <c r="P1380" i="1"/>
  <c r="P1379" i="1"/>
  <c r="P1378" i="1"/>
  <c r="N1398" i="1"/>
  <c r="L1398" i="1"/>
  <c r="J1398" i="1"/>
  <c r="H1398" i="1"/>
  <c r="H1393" i="1"/>
  <c r="P1393" i="1"/>
  <c r="N1393" i="1"/>
  <c r="L1393" i="1"/>
  <c r="J1393" i="1"/>
  <c r="P1386" i="1"/>
  <c r="N1386" i="1"/>
  <c r="L1386" i="1"/>
  <c r="J1386" i="1"/>
  <c r="H1386" i="1"/>
  <c r="P1364" i="1"/>
  <c r="L1364" i="1"/>
  <c r="H1364" i="1"/>
  <c r="B112" i="3" s="1"/>
  <c r="N1364" i="1"/>
  <c r="J1364" i="1"/>
  <c r="L1355" i="1"/>
  <c r="H1355" i="1"/>
  <c r="B111" i="3" s="1"/>
  <c r="J1355" i="1"/>
  <c r="P1330" i="1"/>
  <c r="N1330" i="1"/>
  <c r="L1330" i="1"/>
  <c r="J1330" i="1"/>
  <c r="H1330" i="1"/>
  <c r="B106" i="3" s="1"/>
  <c r="P1314" i="1"/>
  <c r="N1314" i="1"/>
  <c r="L1314" i="1"/>
  <c r="J1314" i="1"/>
  <c r="P1308" i="1"/>
  <c r="N1308" i="1"/>
  <c r="L1308" i="1"/>
  <c r="J1308" i="1"/>
  <c r="P1302" i="1"/>
  <c r="N1302" i="1"/>
  <c r="L1302" i="1"/>
  <c r="J1302" i="1"/>
  <c r="P1272" i="1"/>
  <c r="N1272" i="1"/>
  <c r="L1272" i="1"/>
  <c r="J1272" i="1"/>
  <c r="P1293" i="1"/>
  <c r="N1293" i="1"/>
  <c r="J1293" i="1"/>
  <c r="L1293" i="1"/>
  <c r="P1285" i="1"/>
  <c r="N1285" i="1"/>
  <c r="L1285" i="1"/>
  <c r="J1285" i="1"/>
  <c r="P1275" i="1"/>
  <c r="N1275" i="1"/>
  <c r="L1275" i="1"/>
  <c r="J1275" i="1"/>
  <c r="P1266" i="1"/>
  <c r="N1266" i="1"/>
  <c r="L1266" i="1"/>
  <c r="J1266" i="1"/>
  <c r="P1258" i="1"/>
  <c r="N1258" i="1"/>
  <c r="L1258" i="1"/>
  <c r="J1258" i="1"/>
  <c r="P1251" i="1"/>
  <c r="N1251" i="1"/>
  <c r="L1251" i="1"/>
  <c r="J1251" i="1"/>
  <c r="P1243" i="1"/>
  <c r="N1243" i="1"/>
  <c r="L1243" i="1"/>
  <c r="J1243" i="1"/>
  <c r="P1234" i="1"/>
  <c r="N1234" i="1"/>
  <c r="L1234" i="1"/>
  <c r="J1234" i="1"/>
  <c r="N1233" i="1"/>
  <c r="N1232" i="1"/>
  <c r="N1231" i="1"/>
  <c r="N1230" i="1"/>
  <c r="N1229" i="1"/>
  <c r="N1228" i="1"/>
  <c r="N1225" i="1"/>
  <c r="N1224" i="1"/>
  <c r="N1223" i="1"/>
  <c r="N1222" i="1"/>
  <c r="N1221" i="1"/>
  <c r="N1220" i="1"/>
  <c r="P1233" i="1"/>
  <c r="P1232" i="1"/>
  <c r="P1231" i="1"/>
  <c r="P1230" i="1"/>
  <c r="P1229" i="1"/>
  <c r="P1228" i="1"/>
  <c r="P1225" i="1"/>
  <c r="P1224" i="1"/>
  <c r="P1223" i="1"/>
  <c r="P1222" i="1"/>
  <c r="P1221" i="1"/>
  <c r="P1220" i="1"/>
  <c r="L1219" i="1"/>
  <c r="J1219" i="1"/>
  <c r="P1208" i="1"/>
  <c r="N1208" i="1"/>
  <c r="L1208" i="1"/>
  <c r="J1208" i="1"/>
  <c r="P1201" i="1"/>
  <c r="N1201" i="1"/>
  <c r="L1201" i="1"/>
  <c r="J1201" i="1"/>
  <c r="P1194" i="1"/>
  <c r="N1194" i="1"/>
  <c r="L1194" i="1"/>
  <c r="J1194" i="1"/>
  <c r="H1167" i="1"/>
  <c r="B102" i="3" s="1"/>
  <c r="N1142" i="1"/>
  <c r="J1142" i="1"/>
  <c r="P1125" i="1"/>
  <c r="N1125" i="1"/>
  <c r="L1125" i="1"/>
  <c r="J1125" i="1"/>
  <c r="N1100" i="1"/>
  <c r="J1100" i="1"/>
  <c r="H1100" i="1"/>
  <c r="P1081" i="1"/>
  <c r="N1081" i="1"/>
  <c r="L1081" i="1"/>
  <c r="J1081" i="1"/>
  <c r="N1061" i="1"/>
  <c r="J1061" i="1"/>
  <c r="P1042" i="1"/>
  <c r="N1042" i="1"/>
  <c r="L1042" i="1"/>
  <c r="J1042" i="1"/>
  <c r="N1022" i="1"/>
  <c r="J1022" i="1"/>
  <c r="H1022" i="1"/>
  <c r="H1039" i="1" s="1"/>
  <c r="P1004" i="1"/>
  <c r="N1004" i="1"/>
  <c r="L1004" i="1"/>
  <c r="J1004" i="1"/>
  <c r="P992" i="1"/>
  <c r="N992" i="1"/>
  <c r="N984" i="1" s="1"/>
  <c r="L992" i="1"/>
  <c r="L984" i="1" s="1"/>
  <c r="J992" i="1"/>
  <c r="J984" i="1" s="1"/>
  <c r="H984" i="1"/>
  <c r="B99" i="3" s="1"/>
  <c r="P990" i="1"/>
  <c r="P989" i="1"/>
  <c r="P988" i="1"/>
  <c r="P987" i="1"/>
  <c r="P986" i="1"/>
  <c r="P985" i="1"/>
  <c r="J969" i="1"/>
  <c r="L969" i="1"/>
  <c r="N969" i="1"/>
  <c r="P969" i="1"/>
  <c r="H969" i="1"/>
  <c r="B98" i="3" s="1"/>
  <c r="N953" i="1"/>
  <c r="L953" i="1"/>
  <c r="J953" i="1"/>
  <c r="H953" i="1"/>
  <c r="P943" i="1"/>
  <c r="N943" i="1"/>
  <c r="L943" i="1"/>
  <c r="J943" i="1"/>
  <c r="J934" i="1"/>
  <c r="L934" i="1"/>
  <c r="P942" i="1"/>
  <c r="P941" i="1"/>
  <c r="P940" i="1"/>
  <c r="P939" i="1"/>
  <c r="P938" i="1"/>
  <c r="P936" i="1"/>
  <c r="P935" i="1"/>
  <c r="N934" i="1"/>
  <c r="L924" i="1"/>
  <c r="P924" i="1"/>
  <c r="N924" i="1"/>
  <c r="J924" i="1"/>
  <c r="P918" i="1"/>
  <c r="L918" i="1"/>
  <c r="N918" i="1"/>
  <c r="J918" i="1"/>
  <c r="P917" i="1"/>
  <c r="P916" i="1"/>
  <c r="P915" i="1"/>
  <c r="P914" i="1"/>
  <c r="P913" i="1"/>
  <c r="P912" i="1"/>
  <c r="N911" i="1"/>
  <c r="L911" i="1"/>
  <c r="J911" i="1"/>
  <c r="L1418" i="1" l="1"/>
  <c r="L1473" i="1" s="1"/>
  <c r="J1418" i="1"/>
  <c r="J1473" i="1" s="1"/>
  <c r="N1418" i="1"/>
  <c r="N1473" i="1" s="1"/>
  <c r="H1418" i="1"/>
  <c r="B117" i="3" s="1"/>
  <c r="H1591" i="1"/>
  <c r="B141" i="3"/>
  <c r="H1579" i="1"/>
  <c r="B137" i="3"/>
  <c r="J1167" i="1"/>
  <c r="J1162" i="1" s="1"/>
  <c r="N1167" i="1"/>
  <c r="N1162" i="1" s="1"/>
  <c r="L1167" i="1"/>
  <c r="L1162" i="1" s="1"/>
  <c r="P1167" i="1"/>
  <c r="P1162" i="1" s="1"/>
  <c r="H1001" i="1"/>
  <c r="H1344" i="1"/>
  <c r="P1327" i="1"/>
  <c r="H1635" i="1"/>
  <c r="H1162" i="1"/>
  <c r="H1322" i="1"/>
  <c r="J1344" i="1"/>
  <c r="L1344" i="1"/>
  <c r="H1489" i="1"/>
  <c r="H1325" i="1"/>
  <c r="L1325" i="1"/>
  <c r="P1325" i="1"/>
  <c r="H1327" i="1"/>
  <c r="L1327" i="1"/>
  <c r="J1325" i="1"/>
  <c r="N1325" i="1"/>
  <c r="J1327" i="1"/>
  <c r="N1327" i="1"/>
  <c r="J1620" i="1"/>
  <c r="J1611" i="1"/>
  <c r="J17" i="1" s="1"/>
  <c r="N1620" i="1"/>
  <c r="N1611" i="1"/>
  <c r="N17" i="1" s="1"/>
  <c r="H1632" i="1"/>
  <c r="H1609" i="1"/>
  <c r="L1632" i="1"/>
  <c r="L1609" i="1"/>
  <c r="P1632" i="1"/>
  <c r="H1620" i="1"/>
  <c r="H1611" i="1"/>
  <c r="H17" i="1" s="1"/>
  <c r="L1620" i="1"/>
  <c r="L1611" i="1"/>
  <c r="L17" i="1" s="1"/>
  <c r="P1620" i="1"/>
  <c r="P1611" i="1"/>
  <c r="P17" i="1" s="1"/>
  <c r="J1632" i="1"/>
  <c r="J1609" i="1"/>
  <c r="N1632" i="1"/>
  <c r="N1609" i="1"/>
  <c r="J1635" i="1"/>
  <c r="N1635" i="1"/>
  <c r="L1635" i="1"/>
  <c r="L1790" i="1" s="1"/>
  <c r="L1610" i="1" s="1"/>
  <c r="P1635" i="1"/>
  <c r="L1579" i="1"/>
  <c r="P1579" i="1"/>
  <c r="J1579" i="1"/>
  <c r="N1579" i="1"/>
  <c r="L1555" i="1"/>
  <c r="N1555" i="1"/>
  <c r="J1489" i="1"/>
  <c r="J1514" i="1" s="1"/>
  <c r="N1489" i="1"/>
  <c r="N1514" i="1" s="1"/>
  <c r="L1489" i="1"/>
  <c r="L1514" i="1" s="1"/>
  <c r="P1489" i="1"/>
  <c r="P1514" i="1" s="1"/>
  <c r="P1427" i="1"/>
  <c r="P1377" i="1"/>
  <c r="L1182" i="1"/>
  <c r="J1182" i="1"/>
  <c r="P1219" i="1"/>
  <c r="P1182" i="1" s="1"/>
  <c r="N1219" i="1"/>
  <c r="N1182" i="1" s="1"/>
  <c r="H1159" i="1"/>
  <c r="J1159" i="1"/>
  <c r="N1159" i="1"/>
  <c r="H1122" i="1"/>
  <c r="J1122" i="1"/>
  <c r="N1122" i="1"/>
  <c r="J1078" i="1"/>
  <c r="N1078" i="1"/>
  <c r="J1039" i="1"/>
  <c r="N1039" i="1"/>
  <c r="N1001" i="1"/>
  <c r="P984" i="1"/>
  <c r="P1001" i="1" s="1"/>
  <c r="L1001" i="1"/>
  <c r="J1001" i="1"/>
  <c r="P934" i="1"/>
  <c r="P911" i="1"/>
  <c r="P900" i="1"/>
  <c r="L900" i="1"/>
  <c r="J900" i="1"/>
  <c r="N900" i="1"/>
  <c r="P890" i="1"/>
  <c r="N890" i="1"/>
  <c r="L890" i="1"/>
  <c r="J890" i="1"/>
  <c r="P881" i="1"/>
  <c r="N881" i="1"/>
  <c r="L881" i="1"/>
  <c r="J881" i="1"/>
  <c r="P871" i="1"/>
  <c r="N871" i="1"/>
  <c r="L871" i="1"/>
  <c r="J871" i="1"/>
  <c r="P849" i="1"/>
  <c r="P844" i="1" s="1"/>
  <c r="N849" i="1"/>
  <c r="N844" i="1" s="1"/>
  <c r="L849" i="1"/>
  <c r="L844" i="1" s="1"/>
  <c r="J849" i="1"/>
  <c r="J844" i="1" s="1"/>
  <c r="H849" i="1"/>
  <c r="P811" i="1"/>
  <c r="N811" i="1"/>
  <c r="L811" i="1"/>
  <c r="J811" i="1"/>
  <c r="P773" i="1"/>
  <c r="N773" i="1"/>
  <c r="L773" i="1"/>
  <c r="J773" i="1"/>
  <c r="P761" i="1"/>
  <c r="P769" i="1" s="1"/>
  <c r="N761" i="1"/>
  <c r="N769" i="1" s="1"/>
  <c r="L761" i="1"/>
  <c r="L769" i="1" s="1"/>
  <c r="J761" i="1"/>
  <c r="J769" i="1" s="1"/>
  <c r="H761" i="1"/>
  <c r="H769" i="1" s="1"/>
  <c r="P751" i="1"/>
  <c r="P758" i="1" s="1"/>
  <c r="N751" i="1"/>
  <c r="N758" i="1" s="1"/>
  <c r="L751" i="1"/>
  <c r="L758" i="1" s="1"/>
  <c r="J751" i="1"/>
  <c r="J758" i="1" s="1"/>
  <c r="H751" i="1"/>
  <c r="H758" i="1" s="1"/>
  <c r="N739" i="1"/>
  <c r="N748" i="1" s="1"/>
  <c r="L739" i="1"/>
  <c r="L748" i="1" s="1"/>
  <c r="J739" i="1"/>
  <c r="J748" i="1" s="1"/>
  <c r="H739" i="1"/>
  <c r="H748" i="1" s="1"/>
  <c r="P729" i="1"/>
  <c r="N729" i="1"/>
  <c r="L729" i="1"/>
  <c r="J729" i="1"/>
  <c r="H729" i="1"/>
  <c r="B78" i="3" s="1"/>
  <c r="P715" i="1"/>
  <c r="N715" i="1"/>
  <c r="L715" i="1"/>
  <c r="J715" i="1"/>
  <c r="P712" i="1"/>
  <c r="N712" i="1"/>
  <c r="L712" i="1"/>
  <c r="J712" i="1"/>
  <c r="H712" i="1"/>
  <c r="P699" i="1"/>
  <c r="N699" i="1"/>
  <c r="L699" i="1"/>
  <c r="J699" i="1"/>
  <c r="H699" i="1"/>
  <c r="P693" i="1"/>
  <c r="N693" i="1"/>
  <c r="L693" i="1"/>
  <c r="J693" i="1"/>
  <c r="H693" i="1"/>
  <c r="P686" i="1"/>
  <c r="N686" i="1"/>
  <c r="L686" i="1"/>
  <c r="J686" i="1"/>
  <c r="H686" i="1"/>
  <c r="P662" i="1"/>
  <c r="N662" i="1"/>
  <c r="L662" i="1"/>
  <c r="J662" i="1"/>
  <c r="H662" i="1"/>
  <c r="B74" i="3" s="1"/>
  <c r="P646" i="1"/>
  <c r="P637" i="1" s="1"/>
  <c r="N646" i="1"/>
  <c r="N637" i="1" s="1"/>
  <c r="L646" i="1"/>
  <c r="L637" i="1" s="1"/>
  <c r="J646" i="1"/>
  <c r="J637" i="1" s="1"/>
  <c r="P622" i="1"/>
  <c r="N622" i="1"/>
  <c r="L622" i="1"/>
  <c r="J622" i="1"/>
  <c r="P606" i="1"/>
  <c r="N606" i="1"/>
  <c r="L606" i="1"/>
  <c r="J606" i="1"/>
  <c r="H606" i="1"/>
  <c r="P591" i="1"/>
  <c r="N591" i="1"/>
  <c r="L591" i="1"/>
  <c r="J591" i="1"/>
  <c r="H591" i="1"/>
  <c r="B68" i="3" s="1"/>
  <c r="P582" i="1"/>
  <c r="P573" i="1" s="1"/>
  <c r="N582" i="1"/>
  <c r="N573" i="1" s="1"/>
  <c r="L582" i="1"/>
  <c r="L573" i="1" s="1"/>
  <c r="J582" i="1"/>
  <c r="J573" i="1" s="1"/>
  <c r="H582" i="1"/>
  <c r="H573" i="1" s="1"/>
  <c r="B66" i="3" s="1"/>
  <c r="J557" i="1"/>
  <c r="L557" i="1"/>
  <c r="N557" i="1"/>
  <c r="P557" i="1"/>
  <c r="P550" i="1"/>
  <c r="N550" i="1"/>
  <c r="L550" i="1"/>
  <c r="J550" i="1"/>
  <c r="H550" i="1"/>
  <c r="P541" i="1"/>
  <c r="N541" i="1"/>
  <c r="L541" i="1"/>
  <c r="J541" i="1"/>
  <c r="P509" i="1"/>
  <c r="N509" i="1"/>
  <c r="L509" i="1"/>
  <c r="J509" i="1"/>
  <c r="H509" i="1"/>
  <c r="B61" i="3" s="1"/>
  <c r="P499" i="1"/>
  <c r="N499" i="1"/>
  <c r="L499" i="1"/>
  <c r="J499" i="1"/>
  <c r="H499" i="1"/>
  <c r="P495" i="1"/>
  <c r="N495" i="1"/>
  <c r="L495" i="1"/>
  <c r="J495" i="1"/>
  <c r="H495" i="1"/>
  <c r="P490" i="1"/>
  <c r="N490" i="1"/>
  <c r="L490" i="1"/>
  <c r="J490" i="1"/>
  <c r="H490" i="1"/>
  <c r="P486" i="1"/>
  <c r="N486" i="1"/>
  <c r="L486" i="1"/>
  <c r="J486" i="1"/>
  <c r="H486" i="1"/>
  <c r="P466" i="1"/>
  <c r="N466" i="1"/>
  <c r="L466" i="1"/>
  <c r="J466" i="1"/>
  <c r="H466" i="1"/>
  <c r="B57" i="3" s="1"/>
  <c r="L430" i="1"/>
  <c r="P435" i="1"/>
  <c r="P434" i="1"/>
  <c r="P433" i="1"/>
  <c r="N430" i="1"/>
  <c r="J430" i="1"/>
  <c r="P451" i="1"/>
  <c r="N451" i="1"/>
  <c r="L451" i="1"/>
  <c r="J451" i="1"/>
  <c r="P444" i="1"/>
  <c r="N444" i="1"/>
  <c r="L444" i="1"/>
  <c r="J444" i="1"/>
  <c r="L437" i="1"/>
  <c r="P438" i="1"/>
  <c r="N437" i="1"/>
  <c r="J437" i="1"/>
  <c r="P410" i="1"/>
  <c r="N410" i="1"/>
  <c r="L410" i="1"/>
  <c r="J410" i="1"/>
  <c r="H410" i="1"/>
  <c r="P402" i="1"/>
  <c r="N402" i="1"/>
  <c r="L402" i="1"/>
  <c r="J402" i="1"/>
  <c r="H402" i="1"/>
  <c r="P391" i="1"/>
  <c r="N391" i="1"/>
  <c r="L391" i="1"/>
  <c r="J391" i="1"/>
  <c r="P386" i="1"/>
  <c r="N386" i="1"/>
  <c r="L386" i="1"/>
  <c r="J386" i="1"/>
  <c r="P379" i="1"/>
  <c r="L379" i="1"/>
  <c r="N379" i="1"/>
  <c r="J379" i="1"/>
  <c r="P375" i="1"/>
  <c r="N375" i="1"/>
  <c r="J375" i="1"/>
  <c r="L375" i="1"/>
  <c r="P363" i="1"/>
  <c r="L363" i="1"/>
  <c r="N363" i="1"/>
  <c r="J363" i="1"/>
  <c r="P352" i="1"/>
  <c r="L352" i="1"/>
  <c r="J352" i="1"/>
  <c r="N352" i="1"/>
  <c r="P327" i="1"/>
  <c r="N327" i="1"/>
  <c r="L327" i="1"/>
  <c r="J327" i="1"/>
  <c r="H327" i="1"/>
  <c r="B27" i="3" s="1"/>
  <c r="H27" i="3" s="1"/>
  <c r="P319" i="1"/>
  <c r="N319" i="1"/>
  <c r="L319" i="1"/>
  <c r="J319" i="1"/>
  <c r="H319" i="1"/>
  <c r="P314" i="1"/>
  <c r="N314" i="1"/>
  <c r="L314" i="1"/>
  <c r="J314" i="1"/>
  <c r="H314" i="1"/>
  <c r="P311" i="1"/>
  <c r="N311" i="1"/>
  <c r="L311" i="1"/>
  <c r="J311" i="1"/>
  <c r="H311" i="1"/>
  <c r="P278" i="1"/>
  <c r="N278" i="1"/>
  <c r="L278" i="1"/>
  <c r="J278" i="1"/>
  <c r="H278" i="1"/>
  <c r="B23" i="3" s="1"/>
  <c r="H23" i="3" s="1"/>
  <c r="P255" i="1"/>
  <c r="N255" i="1"/>
  <c r="L255" i="1"/>
  <c r="J255" i="1"/>
  <c r="L293" i="1" l="1"/>
  <c r="H1473" i="1"/>
  <c r="P1418" i="1"/>
  <c r="P1473" i="1" s="1"/>
  <c r="H1514" i="1"/>
  <c r="B125" i="3"/>
  <c r="H1403" i="1"/>
  <c r="B107" i="3"/>
  <c r="H479" i="1"/>
  <c r="H506" i="1" s="1"/>
  <c r="H676" i="1"/>
  <c r="H706" i="1" s="1"/>
  <c r="B41" i="3"/>
  <c r="H462" i="1"/>
  <c r="B58" i="3"/>
  <c r="B69" i="3"/>
  <c r="H619" i="1"/>
  <c r="B75" i="3"/>
  <c r="H293" i="1"/>
  <c r="B24" i="3" s="1"/>
  <c r="H24" i="3" s="1"/>
  <c r="H844" i="1"/>
  <c r="B81" i="3"/>
  <c r="L1403" i="1"/>
  <c r="L1326" i="1"/>
  <c r="L1324" i="1" s="1"/>
  <c r="H1790" i="1"/>
  <c r="H1610" i="1" s="1"/>
  <c r="H1608" i="1" s="1"/>
  <c r="J1790" i="1"/>
  <c r="J1610" i="1" s="1"/>
  <c r="J1608" i="1" s="1"/>
  <c r="J1403" i="1"/>
  <c r="L1608" i="1"/>
  <c r="P1322" i="1"/>
  <c r="P1163" i="1"/>
  <c r="P1161" i="1" s="1"/>
  <c r="L1322" i="1"/>
  <c r="L1163" i="1"/>
  <c r="L1161" i="1" s="1"/>
  <c r="N1322" i="1"/>
  <c r="N1163" i="1"/>
  <c r="N1161" i="1" s="1"/>
  <c r="J1322" i="1"/>
  <c r="J1163" i="1"/>
  <c r="J1161" i="1" s="1"/>
  <c r="H1163" i="1"/>
  <c r="H1161" i="1" s="1"/>
  <c r="H866" i="1"/>
  <c r="L866" i="1"/>
  <c r="J866" i="1"/>
  <c r="N866" i="1"/>
  <c r="H841" i="1"/>
  <c r="L841" i="1"/>
  <c r="P841" i="1"/>
  <c r="J841" i="1"/>
  <c r="N841" i="1"/>
  <c r="H736" i="1"/>
  <c r="L736" i="1"/>
  <c r="P736" i="1"/>
  <c r="J736" i="1"/>
  <c r="N736" i="1"/>
  <c r="L676" i="1"/>
  <c r="L706" i="1" s="1"/>
  <c r="P676" i="1"/>
  <c r="P706" i="1" s="1"/>
  <c r="J676" i="1"/>
  <c r="J706" i="1" s="1"/>
  <c r="N676" i="1"/>
  <c r="N706" i="1" s="1"/>
  <c r="J659" i="1"/>
  <c r="N659" i="1"/>
  <c r="H659" i="1"/>
  <c r="L659" i="1"/>
  <c r="P659" i="1"/>
  <c r="L619" i="1"/>
  <c r="P619" i="1"/>
  <c r="J619" i="1"/>
  <c r="N619" i="1"/>
  <c r="P588" i="1"/>
  <c r="L588" i="1"/>
  <c r="J588" i="1"/>
  <c r="N588" i="1"/>
  <c r="H588" i="1"/>
  <c r="H523" i="1"/>
  <c r="L523" i="1"/>
  <c r="L554" i="1" s="1"/>
  <c r="N523" i="1"/>
  <c r="N554" i="1" s="1"/>
  <c r="J479" i="1"/>
  <c r="J506" i="1" s="1"/>
  <c r="N479" i="1"/>
  <c r="N506" i="1" s="1"/>
  <c r="L479" i="1"/>
  <c r="L506" i="1" s="1"/>
  <c r="P479" i="1"/>
  <c r="P506" i="1" s="1"/>
  <c r="N423" i="1"/>
  <c r="N462" i="1" s="1"/>
  <c r="J423" i="1"/>
  <c r="J462" i="1" s="1"/>
  <c r="L423" i="1"/>
  <c r="L462" i="1" s="1"/>
  <c r="P430" i="1"/>
  <c r="P437" i="1"/>
  <c r="N342" i="1"/>
  <c r="N407" i="1" s="1"/>
  <c r="L342" i="1"/>
  <c r="L407" i="1" s="1"/>
  <c r="H407" i="1"/>
  <c r="P342" i="1"/>
  <c r="P407" i="1" s="1"/>
  <c r="J342" i="1"/>
  <c r="J407" i="1" s="1"/>
  <c r="L323" i="1"/>
  <c r="P293" i="1"/>
  <c r="P323" i="1" s="1"/>
  <c r="J293" i="1"/>
  <c r="J323" i="1" s="1"/>
  <c r="N293" i="1"/>
  <c r="N323" i="1" s="1"/>
  <c r="H323" i="1" l="1"/>
  <c r="B62" i="3"/>
  <c r="H554" i="1"/>
  <c r="H966" i="1"/>
  <c r="B82" i="3"/>
  <c r="J966" i="1"/>
  <c r="J845" i="1"/>
  <c r="J843" i="1" s="1"/>
  <c r="H845" i="1"/>
  <c r="H843" i="1" s="1"/>
  <c r="N966" i="1"/>
  <c r="N845" i="1"/>
  <c r="N843" i="1" s="1"/>
  <c r="L966" i="1"/>
  <c r="P423" i="1"/>
  <c r="P462" i="1" s="1"/>
  <c r="P243" i="1" l="1"/>
  <c r="P275" i="1" s="1"/>
  <c r="N243" i="1"/>
  <c r="N275" i="1" s="1"/>
  <c r="L243" i="1"/>
  <c r="L275" i="1" s="1"/>
  <c r="J243" i="1"/>
  <c r="J275" i="1" s="1"/>
  <c r="H243" i="1"/>
  <c r="P206" i="1"/>
  <c r="P24" i="1" s="1"/>
  <c r="P18" i="1" s="1"/>
  <c r="N206" i="1"/>
  <c r="N24" i="1" s="1"/>
  <c r="N18" i="1" s="1"/>
  <c r="L206" i="1"/>
  <c r="L24" i="1" s="1"/>
  <c r="L18" i="1" s="1"/>
  <c r="J206" i="1"/>
  <c r="J24" i="1" s="1"/>
  <c r="J18" i="1" s="1"/>
  <c r="H206" i="1"/>
  <c r="H24" i="1" s="1"/>
  <c r="H18" i="1" s="1"/>
  <c r="P201" i="1"/>
  <c r="N201" i="1"/>
  <c r="L201" i="1"/>
  <c r="J201" i="1"/>
  <c r="H201" i="1"/>
  <c r="P159" i="1"/>
  <c r="N159" i="1"/>
  <c r="L159" i="1"/>
  <c r="J159" i="1"/>
  <c r="H159" i="1"/>
  <c r="P149" i="1"/>
  <c r="L149" i="1"/>
  <c r="J149" i="1"/>
  <c r="H149" i="1"/>
  <c r="B14" i="3" s="1"/>
  <c r="H14" i="3" s="1"/>
  <c r="P145" i="1"/>
  <c r="N145" i="1"/>
  <c r="L145" i="1"/>
  <c r="J145" i="1"/>
  <c r="H145" i="1"/>
  <c r="B13" i="3" s="1"/>
  <c r="H13" i="3" s="1"/>
  <c r="P133" i="1"/>
  <c r="N133" i="1"/>
  <c r="L133" i="1"/>
  <c r="J133" i="1"/>
  <c r="H133" i="1"/>
  <c r="B12" i="3" s="1"/>
  <c r="H12" i="3" s="1"/>
  <c r="N126" i="1"/>
  <c r="L126" i="1"/>
  <c r="J126" i="1"/>
  <c r="P126" i="1"/>
  <c r="H126" i="1"/>
  <c r="B11" i="3" s="1"/>
  <c r="H11" i="3" s="1"/>
  <c r="P119" i="1"/>
  <c r="N119" i="1"/>
  <c r="L119" i="1"/>
  <c r="J119" i="1"/>
  <c r="H119" i="1"/>
  <c r="B10" i="3" s="1"/>
  <c r="H10" i="3" s="1"/>
  <c r="L111" i="1"/>
  <c r="N111" i="1"/>
  <c r="J111" i="1"/>
  <c r="H111" i="1"/>
  <c r="B9" i="3" s="1"/>
  <c r="H9" i="3" s="1"/>
  <c r="P101" i="1"/>
  <c r="N101" i="1"/>
  <c r="L101" i="1"/>
  <c r="J101" i="1"/>
  <c r="H101" i="1"/>
  <c r="B8" i="3" s="1"/>
  <c r="H8" i="3" s="1"/>
  <c r="P97" i="1"/>
  <c r="N97" i="1"/>
  <c r="L97" i="1"/>
  <c r="J97" i="1"/>
  <c r="H97" i="1"/>
  <c r="B7" i="3" s="1"/>
  <c r="H7" i="3" s="1"/>
  <c r="P93" i="1"/>
  <c r="N93" i="1"/>
  <c r="L93" i="1"/>
  <c r="J93" i="1"/>
  <c r="H93" i="1"/>
  <c r="B6" i="3" s="1"/>
  <c r="H6" i="3" s="1"/>
  <c r="P83" i="1"/>
  <c r="L83" i="1"/>
  <c r="J83" i="1"/>
  <c r="N83" i="1"/>
  <c r="H83" i="1"/>
  <c r="B5" i="3" s="1"/>
  <c r="H5" i="3" s="1"/>
  <c r="P79" i="1"/>
  <c r="N79" i="1"/>
  <c r="L79" i="1"/>
  <c r="J79" i="1"/>
  <c r="H79" i="1"/>
  <c r="B4" i="3" s="1"/>
  <c r="H4" i="3" s="1"/>
  <c r="N27" i="1"/>
  <c r="N21" i="1" s="1"/>
  <c r="J27" i="1"/>
  <c r="L27" i="1"/>
  <c r="P27" i="1"/>
  <c r="P21" i="1" s="1"/>
  <c r="H27" i="1"/>
  <c r="B2" i="3" s="1"/>
  <c r="H2" i="3" s="1"/>
  <c r="J45" i="1"/>
  <c r="H45" i="1"/>
  <c r="L45" i="1"/>
  <c r="N1788" i="1"/>
  <c r="P1788" i="1"/>
  <c r="Q1788" i="1" s="1"/>
  <c r="Q1789" i="1" s="1"/>
  <c r="H42" i="1" l="1"/>
  <c r="L42" i="1"/>
  <c r="J42" i="1"/>
  <c r="H275" i="1"/>
  <c r="B19" i="3"/>
  <c r="H19" i="3" s="1"/>
  <c r="B3" i="3"/>
  <c r="H3" i="3" s="1"/>
  <c r="H21" i="1"/>
  <c r="H15" i="1" s="1"/>
  <c r="L21" i="1"/>
  <c r="L15" i="1" s="1"/>
  <c r="N15" i="1"/>
  <c r="N1790" i="1"/>
  <c r="N1610" i="1" s="1"/>
  <c r="N1608" i="1" s="1"/>
  <c r="P1790" i="1"/>
  <c r="P1610" i="1" s="1"/>
  <c r="J21" i="1"/>
  <c r="J15" i="1" s="1"/>
  <c r="P45" i="1"/>
  <c r="H240" i="1" l="1"/>
  <c r="H22" i="1"/>
  <c r="L240" i="1"/>
  <c r="L22" i="1"/>
  <c r="J240" i="1"/>
  <c r="H1537" i="1"/>
  <c r="H1533" i="1" s="1"/>
  <c r="J1537" i="1"/>
  <c r="L1146" i="1"/>
  <c r="P1146" i="1" s="1"/>
  <c r="L1145" i="1"/>
  <c r="L1104" i="1"/>
  <c r="P1104" i="1" s="1"/>
  <c r="L1103" i="1"/>
  <c r="L1065" i="1"/>
  <c r="P1065" i="1" s="1"/>
  <c r="L1064" i="1"/>
  <c r="L1026" i="1"/>
  <c r="P1026" i="1" s="1"/>
  <c r="L1025" i="1"/>
  <c r="H1555" i="1" l="1"/>
  <c r="B133" i="3"/>
  <c r="H1326" i="1"/>
  <c r="H1324" i="1" s="1"/>
  <c r="L20" i="1"/>
  <c r="H20" i="1"/>
  <c r="P1537" i="1"/>
  <c r="P1533" i="1" s="1"/>
  <c r="P1555" i="1" s="1"/>
  <c r="J1533" i="1"/>
  <c r="P1145" i="1"/>
  <c r="P1142" i="1" s="1"/>
  <c r="P1159" i="1" s="1"/>
  <c r="L1142" i="1"/>
  <c r="L1159" i="1" s="1"/>
  <c r="P1103" i="1"/>
  <c r="P1100" i="1" s="1"/>
  <c r="P1122" i="1" s="1"/>
  <c r="L1100" i="1"/>
  <c r="L1122" i="1" s="1"/>
  <c r="P1064" i="1"/>
  <c r="P1061" i="1" s="1"/>
  <c r="P1078" i="1" s="1"/>
  <c r="L1061" i="1"/>
  <c r="L1078" i="1" s="1"/>
  <c r="P1025" i="1"/>
  <c r="P1022" i="1" s="1"/>
  <c r="P1039" i="1" s="1"/>
  <c r="L1022" i="1"/>
  <c r="L1039" i="1" l="1"/>
  <c r="L845" i="1"/>
  <c r="H16" i="1"/>
  <c r="H14" i="1" s="1"/>
  <c r="H12" i="1" s="1"/>
  <c r="S14" i="1" s="1"/>
  <c r="P1799" i="1"/>
  <c r="P1609" i="1"/>
  <c r="J1555" i="1"/>
  <c r="J1326" i="1"/>
  <c r="J1324" i="1" s="1"/>
  <c r="A79" i="2"/>
  <c r="H1912" i="1" l="1"/>
  <c r="H1914" i="1" s="1"/>
  <c r="H1926" i="1" s="1"/>
  <c r="H1927" i="1" s="1"/>
  <c r="S15" i="1"/>
  <c r="L843" i="1"/>
  <c r="L16" i="1"/>
  <c r="L14" i="1" s="1"/>
  <c r="L1895" i="1" s="1"/>
  <c r="P1608" i="1"/>
  <c r="P15" i="1"/>
  <c r="P112" i="1"/>
  <c r="P111" i="1" s="1"/>
  <c r="P42" i="1" s="1"/>
  <c r="L12" i="1" l="1"/>
  <c r="U14" i="1" s="1"/>
  <c r="L1910" i="1"/>
  <c r="P240" i="1"/>
  <c r="P1363" i="1"/>
  <c r="P1355" i="1" s="1"/>
  <c r="N1363" i="1"/>
  <c r="N1355" i="1" s="1"/>
  <c r="N1344" i="1" s="1"/>
  <c r="P1401" i="1"/>
  <c r="P1398" i="1" s="1"/>
  <c r="L1912" i="1" l="1"/>
  <c r="L1914" i="1" s="1"/>
  <c r="U15" i="1"/>
  <c r="P1344" i="1"/>
  <c r="N1403" i="1"/>
  <c r="N1326" i="1"/>
  <c r="N1324" i="1" s="1"/>
  <c r="P960" i="1"/>
  <c r="P953" i="1" s="1"/>
  <c r="P866" i="1" s="1"/>
  <c r="P966" i="1" l="1"/>
  <c r="P845" i="1"/>
  <c r="P843" i="1" s="1"/>
  <c r="P1403" i="1"/>
  <c r="P1326" i="1"/>
  <c r="P1324" i="1" s="1"/>
  <c r="P746" i="1"/>
  <c r="P739" i="1" s="1"/>
  <c r="P748" i="1" s="1"/>
  <c r="N153" i="1" l="1"/>
  <c r="N149" i="1" s="1"/>
  <c r="N42" i="1" s="1"/>
  <c r="N240" i="1" l="1"/>
  <c r="N22" i="1"/>
  <c r="N16" i="1" s="1"/>
  <c r="N14" i="1" s="1"/>
  <c r="N12" i="1" s="1"/>
  <c r="V14" i="1" s="1"/>
  <c r="N1912" i="1" l="1"/>
  <c r="V15" i="1"/>
  <c r="N20" i="1"/>
  <c r="P523" i="1" l="1"/>
  <c r="J523" i="1"/>
  <c r="J554" i="1" l="1"/>
  <c r="J22" i="1"/>
  <c r="J16" i="1" s="1"/>
  <c r="J14" i="1" s="1"/>
  <c r="P554" i="1"/>
  <c r="P22" i="1"/>
  <c r="P16" i="1" s="1"/>
  <c r="P14" i="1" s="1"/>
  <c r="P12" i="1" s="1"/>
  <c r="W14" i="1" s="1"/>
  <c r="P1912" i="1" l="1"/>
  <c r="W15" i="1"/>
  <c r="J12" i="1"/>
  <c r="T14" i="1" s="1"/>
  <c r="J1895" i="1"/>
  <c r="P20" i="1"/>
  <c r="J20" i="1"/>
  <c r="J1912" i="1" l="1"/>
  <c r="T15" i="1"/>
  <c r="J1910" i="1"/>
  <c r="J1914" i="1" s="1"/>
  <c r="N1895" i="1"/>
  <c r="N1910" i="1" s="1"/>
  <c r="N1914" i="1" s="1"/>
  <c r="P1895" i="1"/>
  <c r="P1910" i="1" s="1"/>
  <c r="P1914" i="1" s="1"/>
</calcChain>
</file>

<file path=xl/sharedStrings.xml><?xml version="1.0" encoding="utf-8"?>
<sst xmlns="http://schemas.openxmlformats.org/spreadsheetml/2006/main" count="2288" uniqueCount="833">
  <si>
    <t>-</t>
  </si>
  <si>
    <t>FUNCTION/PROGRAM/PROJECT</t>
  </si>
  <si>
    <t>CODE</t>
  </si>
  <si>
    <t>APPROPRIATIONS</t>
  </si>
  <si>
    <t>ALLOTMENTS</t>
  </si>
  <si>
    <t>OBLIGATIONS</t>
  </si>
  <si>
    <t>BALANCE OF</t>
  </si>
  <si>
    <t>Personal Services</t>
  </si>
  <si>
    <t>Salaries and Wages - Regular</t>
  </si>
  <si>
    <t>Salaries and Wages - Casual/Contractual</t>
  </si>
  <si>
    <t>Representation Allowance (RA)</t>
  </si>
  <si>
    <t>Clothing/Uniform Allowance</t>
  </si>
  <si>
    <t>Year End Bonus</t>
  </si>
  <si>
    <t>Cash Gift</t>
  </si>
  <si>
    <t>PAG-IBIG Contributions</t>
  </si>
  <si>
    <t>PHILHEALTH Contributions</t>
  </si>
  <si>
    <t>Other Personnel Benefits</t>
  </si>
  <si>
    <t>Maintenance and Other Operating Expenses</t>
  </si>
  <si>
    <t>Loans Payable-Domestic</t>
  </si>
  <si>
    <t>Training Expenses</t>
  </si>
  <si>
    <t>Fuel, Oil and Lubricants Expenses</t>
  </si>
  <si>
    <t>Water Expenses</t>
  </si>
  <si>
    <t>Telephone Expenses</t>
  </si>
  <si>
    <t>Confidential Expenses</t>
  </si>
  <si>
    <t>Miscellaneous Expenses</t>
  </si>
  <si>
    <t>Other Professional Services</t>
  </si>
  <si>
    <t>Other General Services</t>
  </si>
  <si>
    <t>R/M- Machinery &amp; Equipment</t>
  </si>
  <si>
    <t>Barangay Bukal, Nabunturan</t>
  </si>
  <si>
    <t>Barangay Tandawan, New Bataan</t>
  </si>
  <si>
    <t>Barangay Manurigao, New Bataan</t>
  </si>
  <si>
    <t>F/A Sports Facilities, Montevista</t>
  </si>
  <si>
    <t>Registry of Deeds (Davao del Norte)</t>
  </si>
  <si>
    <t>Department of Trade and Industry (DTI)</t>
  </si>
  <si>
    <t>Interest Expenses</t>
  </si>
  <si>
    <t>Maintenance and Operation of Special Bodies</t>
  </si>
  <si>
    <t>Office Supplies Expenses</t>
  </si>
  <si>
    <t>Other Supplies &amp; Materials Expenses</t>
  </si>
  <si>
    <t>Representation Expenses</t>
  </si>
  <si>
    <t>Socio Cultural and Arts Program</t>
  </si>
  <si>
    <t>Prizes</t>
  </si>
  <si>
    <t>Advertising Expenses</t>
  </si>
  <si>
    <t>Rent Expenses</t>
  </si>
  <si>
    <t>Donations</t>
  </si>
  <si>
    <t>Maintenance and Operation of PCL</t>
  </si>
  <si>
    <t>Maintenance and Operation of FABC</t>
  </si>
  <si>
    <t>FINANCIAL ASSISTANCE TO NGO's/PO's</t>
  </si>
  <si>
    <t>Maintenance and Operation of COMELEC</t>
  </si>
  <si>
    <t>Women Development Program</t>
  </si>
  <si>
    <t>Sports Development Program</t>
  </si>
  <si>
    <t>Music Literacy Program</t>
  </si>
  <si>
    <t>F/A TO BOY SCOUT OF THE PHILIPPINES</t>
  </si>
  <si>
    <t>Capital Outlay</t>
  </si>
  <si>
    <t>2 Units Laptop</t>
  </si>
  <si>
    <t>HOSPITAL &amp; HEALTH CENTERS</t>
  </si>
  <si>
    <t>Subscriptions Expenses</t>
  </si>
  <si>
    <t>F/A - Philippine Councilors League</t>
  </si>
  <si>
    <t>F/A - Sangguniang Kabataan</t>
  </si>
  <si>
    <t>F/A - Lady Local Legislators League</t>
  </si>
  <si>
    <t>Total</t>
  </si>
  <si>
    <t>Transportation Allowance (TA)</t>
  </si>
  <si>
    <t>Longevity Pay</t>
  </si>
  <si>
    <t>Furniture and Fixtures</t>
  </si>
  <si>
    <t>Electricity Expenses</t>
  </si>
  <si>
    <t>Internet Subscription Expenses</t>
  </si>
  <si>
    <t>Human Resource Development Program</t>
  </si>
  <si>
    <t>Employee Awards and Incentives Program</t>
  </si>
  <si>
    <t>Public Employment Program</t>
  </si>
  <si>
    <t>Special Project Support Fund</t>
  </si>
  <si>
    <t>Legal services</t>
  </si>
  <si>
    <t>Janitorial Services</t>
  </si>
  <si>
    <t>Repair and Maintenance-Land Improvements</t>
  </si>
  <si>
    <t>R/M Transportation Equipment-consol.</t>
  </si>
  <si>
    <t>Taxes, Duties and Licenses</t>
  </si>
  <si>
    <t>Insurance Expense</t>
  </si>
  <si>
    <t>Maintenance of Bids and Awards Committee</t>
  </si>
  <si>
    <t>Other Maintenance and Operating Expenses</t>
  </si>
  <si>
    <t>Overtime &amp; Night Pay</t>
  </si>
  <si>
    <t>Overtime and Night Pay-Casual</t>
  </si>
  <si>
    <t>Postage and Courier Services</t>
  </si>
  <si>
    <t>Provincial Revenue Generation Task Force</t>
  </si>
  <si>
    <t>Subscription Expenses</t>
  </si>
  <si>
    <t>Operation Handog Titulo Program</t>
  </si>
  <si>
    <t>Printing &amp; Publication Expenses</t>
  </si>
  <si>
    <t>General Revision of Real Property Assessment</t>
  </si>
  <si>
    <t>GIS Integrated Tax Map</t>
  </si>
  <si>
    <t>Auditing Services</t>
  </si>
  <si>
    <t>20% Development Fund - 1918 (1918)</t>
  </si>
  <si>
    <t>Subsistence Allowance</t>
  </si>
  <si>
    <t>Laundry Allowance</t>
  </si>
  <si>
    <t>Hazard Pay</t>
  </si>
  <si>
    <t>Printing and Publication Expenses</t>
  </si>
  <si>
    <t>BLOOD SERVICES PROGRAM</t>
  </si>
  <si>
    <t>Drugs and Medicines Expenses</t>
  </si>
  <si>
    <t>POPULATION MANAGEMENT PROGRAM</t>
  </si>
  <si>
    <t>INFECTIOUS DISEASES PROGRAM</t>
  </si>
  <si>
    <t>PROVINCIAL NUTRITION PROGRAM</t>
  </si>
  <si>
    <t>Continuous Quality Improvement Program</t>
  </si>
  <si>
    <t>Food Supplies Expenses</t>
  </si>
  <si>
    <t>Other Supplies and Materials Expenses</t>
  </si>
  <si>
    <t>MEDICAL EQUIPMENT</t>
  </si>
  <si>
    <t>PROVINCIAL HEALTH INSURANCE FOR THE INDIGENT</t>
  </si>
  <si>
    <t>CHILD WELFARE PROGRAM</t>
  </si>
  <si>
    <t>OPERATION &amp; MAINTENANCE OF BAHAY PAG-ASA</t>
  </si>
  <si>
    <t>CRISIS INTERVENTION PROGRAM</t>
  </si>
  <si>
    <t>ELDERLY WELFARE PROGRAM</t>
  </si>
  <si>
    <t>Annual Subsidy-DSWD-Home for the Aged</t>
  </si>
  <si>
    <t>Veterans -F/A</t>
  </si>
  <si>
    <t>PERSONS WITH DISABILITY WELFARE PROGRAM</t>
  </si>
  <si>
    <t>WOMEN WELFARE PROGRAM</t>
  </si>
  <si>
    <t>FAMILY WELFARE PROGRAM</t>
  </si>
  <si>
    <t>COMMUNITY WELFARE AND DEVELOPMENT PROGRAM</t>
  </si>
  <si>
    <t>COMPOSTELA VALLEY SCHOLARSHIP PROGRAM</t>
  </si>
  <si>
    <t>YOUTH WELFARE PROGRAM</t>
  </si>
  <si>
    <t>FARM YOUTH DEVELOPMENT PROGRAM</t>
  </si>
  <si>
    <t>FISHERY DEVELOPMENT PROGRAM</t>
  </si>
  <si>
    <t>MICRO CREDIT ASSISTANCE PROGRAM</t>
  </si>
  <si>
    <t>R/M -Buildings &amp; Other structures</t>
  </si>
  <si>
    <t>Agricultural &amp; Marine Supplies Expenses</t>
  </si>
  <si>
    <t>ANIMAL HEALTH CARE PROGRAM</t>
  </si>
  <si>
    <t>ARTIFICIAL INSEMINATION PROGRAM</t>
  </si>
  <si>
    <t>Animal/Zoological Supplies Expenses</t>
  </si>
  <si>
    <t>LIVESTOCK &amp; POULTRY DEVELOPMENT PROGRAM</t>
  </si>
  <si>
    <t>ANIMAL RABIES PREVENTION &amp; CONTROL PROGRAM</t>
  </si>
  <si>
    <t>SWINE DISPERSAL PROGRAM</t>
  </si>
  <si>
    <t>MINING &amp; QUARRYING DEVELOPMENT PROGRAM</t>
  </si>
  <si>
    <t>Provincial Engineer's Office (8751)</t>
  </si>
  <si>
    <t>Office Equipment</t>
  </si>
  <si>
    <t>Heavy Equipments (Documentary Stamp)</t>
  </si>
  <si>
    <t>1 UNIT SURVEY INSTRUMENT</t>
  </si>
  <si>
    <t>Repairs &amp; Maintenance- Machinery &amp;</t>
  </si>
  <si>
    <t>20% Development Fund - 8917 (8917)</t>
  </si>
  <si>
    <t>REPAIR &amp; REHAB. OF FARM TO MARKET ROAD (FMR)</t>
  </si>
  <si>
    <t>Loans Payable</t>
  </si>
  <si>
    <t>Signage</t>
  </si>
  <si>
    <t>Insurance for Disaster Volunteers</t>
  </si>
  <si>
    <t>from NHA Andap</t>
  </si>
  <si>
    <t>PROVINCIAL SOLID WASTE MANAGEMENT PROGRAM</t>
  </si>
  <si>
    <t>PROVINCIAL RICE SUPPORT PROGRAM</t>
  </si>
  <si>
    <t>HIGH VALUE CROPS DEVELOPMENT PROGRAM</t>
  </si>
  <si>
    <t>Meals &amp; Accomodation</t>
  </si>
  <si>
    <t>WATER ECOSYSTEM REHABILITATION SERVICES</t>
  </si>
  <si>
    <t>Technical &amp; Scientific Equipment</t>
  </si>
  <si>
    <t>Terminal Leave</t>
  </si>
  <si>
    <t>PEEMO-MPBF</t>
  </si>
  <si>
    <t>PGO-MPBF</t>
  </si>
  <si>
    <t>AID TO COMPONENT BARANGGAYS</t>
  </si>
  <si>
    <t>sb3</t>
  </si>
  <si>
    <t>fuel spo</t>
  </si>
  <si>
    <t>Republic of the Philippines</t>
  </si>
  <si>
    <t>PROVINCE OF COMPOSTELA VALLEY</t>
  </si>
  <si>
    <t>Capitol Building, Cabidianan, Nabunturan, Compostela Valley</t>
  </si>
  <si>
    <t>STATEMENT OF APPROPRIATIONS, ALLOTMENTS, OBLIGATIONS AND BALANCES</t>
  </si>
  <si>
    <t>TOTAL</t>
  </si>
  <si>
    <t>l. CURRENT YEAR APPROPRIATIONS</t>
  </si>
  <si>
    <t>Financial Expenses</t>
  </si>
  <si>
    <t>GENERAL PUBLIC SERVICES</t>
  </si>
  <si>
    <t>AS OF DECEMBER  31, 2018</t>
  </si>
  <si>
    <t>1.  Executive Services (Governor)</t>
  </si>
  <si>
    <t>1011</t>
  </si>
  <si>
    <t>a) Personal Services</t>
  </si>
  <si>
    <t>100</t>
  </si>
  <si>
    <t>Personnel Economic Relief Allowance (PERA)</t>
  </si>
  <si>
    <t>Salaries and Wages- (Overtime Casual-previous year)</t>
  </si>
  <si>
    <t>Retirement and Life Insurance Contribution</t>
  </si>
  <si>
    <t>Employees Compensation Insurance Premium (ECIP)</t>
  </si>
  <si>
    <t>b) Maintenance and Other Operating Expenses</t>
  </si>
  <si>
    <t>Subsidy to Local Government Units</t>
  </si>
  <si>
    <t xml:space="preserve">  Financial Assistance to/for:</t>
  </si>
  <si>
    <t>Special Barangays-Province-wide for Honorarium</t>
  </si>
  <si>
    <t>F/A TO Barangays for Socio-Cultural Program/Activities</t>
  </si>
  <si>
    <t>Repair/Rehab of Cabidianan Water System, Nabunturan</t>
  </si>
  <si>
    <t>Subsidy to Other Funds</t>
  </si>
  <si>
    <t>PLGU-COMVAL Counterpart to DIDP-PMO Operations</t>
  </si>
  <si>
    <t>Membership Dues and Contributions to Organizations</t>
  </si>
  <si>
    <t>Provincial Board of Assessment Appeal-Davao del Norte</t>
  </si>
  <si>
    <t>Financial Expenses:</t>
  </si>
  <si>
    <t>Programs/Projects/Activities:</t>
  </si>
  <si>
    <t>Provincial Spiritual Development &amp; Values Restoration Program</t>
  </si>
  <si>
    <t>Maintenance and Operation of GAD Focal Point System</t>
  </si>
  <si>
    <t>Financial Assistance to Local Gov't. Units</t>
  </si>
  <si>
    <t xml:space="preserve">  1. Inter-agency Coordination Meetings</t>
  </si>
  <si>
    <t xml:space="preserve">  2. Administrative Support to PPOC Secretariat</t>
  </si>
  <si>
    <t xml:space="preserve">  3. Logistics Support To Law Enforcement Agencies</t>
  </si>
  <si>
    <t xml:space="preserve">      a) Armed Forces of the Philippines (AFP)</t>
  </si>
  <si>
    <t xml:space="preserve">      b) Philippine National Police (PNP)</t>
  </si>
  <si>
    <t xml:space="preserve">      c) Bureau of Fire Protection (BFP)</t>
  </si>
  <si>
    <t xml:space="preserve">      a) Kasangga sa Kapayapaan ng Probinsiya</t>
  </si>
  <si>
    <t xml:space="preserve">      c) Lupong Tagapamayapa/Katarungang Pambarangay</t>
  </si>
  <si>
    <t xml:space="preserve">      d) Barangay Tanod/Police</t>
  </si>
  <si>
    <t xml:space="preserve">      e) Barangay MASA MASID Program</t>
  </si>
  <si>
    <t xml:space="preserve">      f) Youth for Peace Movement</t>
  </si>
  <si>
    <t xml:space="preserve">   h) Regional &amp; Municipal Trial Court/Pao &amp; Provincial Prosecutor's </t>
  </si>
  <si>
    <t xml:space="preserve">  5. Program on Anti-Illegal Drugs</t>
  </si>
  <si>
    <t xml:space="preserve">      a) Rehabilitation/Reformation of Drug Dependents (OPLAN LIWANAG)</t>
  </si>
  <si>
    <t xml:space="preserve">      b) Anti-Illegal Drug Campaign</t>
  </si>
  <si>
    <t xml:space="preserve">  6. Program on Counter-insurgency and Counter-terrorism</t>
  </si>
  <si>
    <t xml:space="preserve">      b) Fuel Assistance to Farm to Market road Projects</t>
  </si>
  <si>
    <t xml:space="preserve">  7. Environmental Protection Program</t>
  </si>
  <si>
    <t xml:space="preserve">      a) Anti-illegal logging/Anti-illegal mining &amp; anti-illegal fishing initiatives</t>
  </si>
  <si>
    <t xml:space="preserve">  8. Force Multiplier Support Program</t>
  </si>
  <si>
    <t xml:space="preserve">      a) Lupong Tagapamayapa Incentives and Awards</t>
  </si>
  <si>
    <t xml:space="preserve">      b) Capability Building Initiatives</t>
  </si>
  <si>
    <t xml:space="preserve">  9. Rehabilitation Program for Detainees</t>
  </si>
  <si>
    <t xml:space="preserve">      a) Maintenance and Operation of the Provincial Rehabilitation Center</t>
  </si>
  <si>
    <t>10. Peace and Development Program</t>
  </si>
  <si>
    <t xml:space="preserve">      b) Peace and development initiatives (meetings, symposia, fora)</t>
  </si>
  <si>
    <t>BAYANIHAN PARA SA KALUSUGAN-KUSINA NG KALINGA</t>
  </si>
  <si>
    <t>c) Capital Outlay</t>
  </si>
  <si>
    <t>Concreting of Road from Purok2, Pob. DENR Admin Bldg Nabunturan</t>
  </si>
  <si>
    <t>Const. of Solar Dryer, Brgy. Mapaca, Compostela</t>
  </si>
  <si>
    <t>Purchase of Service Vehicle for Brgy. Awao, Monkayo</t>
  </si>
  <si>
    <t>Conts./Purchase of Post Harvest Facilities-Provincewide</t>
  </si>
  <si>
    <t>Other Land Improvements</t>
  </si>
  <si>
    <t>Road Networks</t>
  </si>
  <si>
    <t>Buildings</t>
  </si>
  <si>
    <t>Other Structures</t>
  </si>
  <si>
    <t>Military, Police and Security Equipment</t>
  </si>
  <si>
    <t>Sports Equipment</t>
  </si>
  <si>
    <t>Motor Vehicles</t>
  </si>
  <si>
    <t>Other Property, Plant and Equipment</t>
  </si>
  <si>
    <t>Hospitals and Health Centers</t>
  </si>
  <si>
    <t>Sub - Total (PGO - 1011)</t>
  </si>
  <si>
    <t>2) Executive Services ( Vice Governor)</t>
  </si>
  <si>
    <t>1016</t>
  </si>
  <si>
    <t>Repairs and Maintenance - Transportation Expenses</t>
  </si>
  <si>
    <t>F/A - Federeation of Association of Barangay Captains</t>
  </si>
  <si>
    <t>F/A - National Movement of Young Legislators</t>
  </si>
  <si>
    <t xml:space="preserve">  Financial assistance to/for:</t>
  </si>
  <si>
    <t>Sub - Total (VGO - 1016)</t>
  </si>
  <si>
    <t>3) Legislative Services  (Sanguniang Panlalawigan Office)</t>
  </si>
  <si>
    <t>1021</t>
  </si>
  <si>
    <t>Maintenance and Operation of Sessions and Various Standing Committees</t>
  </si>
  <si>
    <t>Maintenance and Operation of Legislative Research and Development Program</t>
  </si>
  <si>
    <t>Sub - Total (SP -1021)</t>
  </si>
  <si>
    <t>Repairs and Maintenance - Transportation Equipment (Payable)</t>
  </si>
  <si>
    <t>4) Administrative Services (Provincial Administrator's Office)</t>
  </si>
  <si>
    <t>Cable, Satellite, Telegraph and Radio Expenses</t>
  </si>
  <si>
    <t>Information and Community Development Program</t>
  </si>
  <si>
    <t>Sub - Total (PAO -1031)</t>
  </si>
  <si>
    <t>5) Provincial Human Resource Management and Development Office</t>
  </si>
  <si>
    <t>Sub - Total (PHRMD -1032)</t>
  </si>
  <si>
    <t>6) Planning and Development Coordination</t>
  </si>
  <si>
    <t>(Provincial Planning and Development Office)</t>
  </si>
  <si>
    <t>Data-based and Participatory Development Program</t>
  </si>
  <si>
    <t>Establishment of Community Based Management Sytem</t>
  </si>
  <si>
    <t>Sub - Total (PPDO -1041)</t>
  </si>
  <si>
    <t>Research Exploration and Development Expenses</t>
  </si>
  <si>
    <t>7) General  Services (Provincial General Services Office)</t>
  </si>
  <si>
    <t>1061</t>
  </si>
  <si>
    <t>Repairs and Maintenance - Building &amp; Other Structures</t>
  </si>
  <si>
    <t>Repair &amp; Maintenance-Machinery and Equipment</t>
  </si>
  <si>
    <t>8) Budgeting Services ( Provincial Budget Office)</t>
  </si>
  <si>
    <t>1071</t>
  </si>
  <si>
    <t>Maintenance and Operation of Local Finance Committee</t>
  </si>
  <si>
    <t>Sub - Total (PBO -1071)</t>
  </si>
  <si>
    <t>Program/Project/Activity:</t>
  </si>
  <si>
    <t>9) Accounting Services ( Provincial Accountant's Office)</t>
  </si>
  <si>
    <t>1081</t>
  </si>
  <si>
    <t>Sub - Total (PACCO -1081)</t>
  </si>
  <si>
    <t>Information and Communication Technology Equipment</t>
  </si>
  <si>
    <t>10) Treasury  Services ( Provincial Treasurer's Office)</t>
  </si>
  <si>
    <t>1091</t>
  </si>
  <si>
    <t>Sub - Total (PTO -1091)</t>
  </si>
  <si>
    <t>11) Assessment of Real Property (Provincial Assessor's Office)</t>
  </si>
  <si>
    <t>1101</t>
  </si>
  <si>
    <t>Sub - Total (PASSO -1101)</t>
  </si>
  <si>
    <t>12) Auditing Services (Commission on Audit)</t>
  </si>
  <si>
    <t>1111</t>
  </si>
  <si>
    <t>a) Maintenance and Other Operating Expenses</t>
  </si>
  <si>
    <t>Sub - Total (COA -1111)</t>
  </si>
  <si>
    <t>13) Legal Services (Provincial Legal Office)</t>
  </si>
  <si>
    <t>1131</t>
  </si>
  <si>
    <t>Sub - Total (PLO -1131)</t>
  </si>
  <si>
    <t>14) Prosecution Services (Provincial Prosecution Office)</t>
  </si>
  <si>
    <t>1141</t>
  </si>
  <si>
    <t>Sub - Total (PROSEC -1141)</t>
  </si>
  <si>
    <t>15) Administration of Justice (RTC - Branch 3)</t>
  </si>
  <si>
    <t>1151-3</t>
  </si>
  <si>
    <t>Sub - Total (PROSEC -1151-3)</t>
  </si>
  <si>
    <t>16) Administration of Justice (RTC - Branch 57)</t>
  </si>
  <si>
    <t>1151-57</t>
  </si>
  <si>
    <t>Sub - Total (RTC -1151-57)</t>
  </si>
  <si>
    <t>17) Purchase, Construction and Improvement of Government</t>
  </si>
  <si>
    <t>1918</t>
  </si>
  <si>
    <t>200</t>
  </si>
  <si>
    <t>Subsidy to Other Local Government Units</t>
  </si>
  <si>
    <t>b) Capital Outlay</t>
  </si>
  <si>
    <t>Land</t>
  </si>
  <si>
    <t>Conc. of Road from Prk 3 to Prk 6 Brgy. Mainit Nabunturan</t>
  </si>
  <si>
    <t>Electrification of Sitio Kilabot, Brgy Ngan, Compostela</t>
  </si>
  <si>
    <t>Water Supply  Systems</t>
  </si>
  <si>
    <t>Sub - Total (20% DF - 1918)</t>
  </si>
  <si>
    <t>HEALTH AND HOSPITAL SERVICES</t>
  </si>
  <si>
    <t>4000</t>
  </si>
  <si>
    <t>18) Health Services (Provincial Health Office)</t>
  </si>
  <si>
    <t>4411</t>
  </si>
  <si>
    <t>Sub - Total (PHO - 4411)</t>
  </si>
  <si>
    <t>19) Hospital Services (Provincial Economic Enterprise Management Office)</t>
  </si>
  <si>
    <t>4421</t>
  </si>
  <si>
    <t>Medical, Dental and Laboratory Supplies Expenses</t>
  </si>
  <si>
    <t>Sub - Total (PEEMO 4421)</t>
  </si>
  <si>
    <t>20) Hospital Services (CVPH - Montevista)</t>
  </si>
  <si>
    <t>4421-1</t>
  </si>
  <si>
    <t>Sub - Total (CVPH- MONT 4421-1)</t>
  </si>
  <si>
    <t>21) Hospital Services (CVPH - Pantukan)</t>
  </si>
  <si>
    <t>4421-2</t>
  </si>
  <si>
    <t>Sub - Total (CVPH- Pantukan 4421-2)</t>
  </si>
  <si>
    <t>22) Hospital Services (CVPH - Laak)</t>
  </si>
  <si>
    <t>4421-3</t>
  </si>
  <si>
    <t>Sub - Total (CVPH- Laak 4421-3)</t>
  </si>
  <si>
    <t>23) Hospital Services (CVPH - Maragusan)</t>
  </si>
  <si>
    <t>4421-4</t>
  </si>
  <si>
    <t>Sub - Total (CVPH- Maragusan 4421-3)</t>
  </si>
  <si>
    <t>SOCIAL WELFARE SERVICES</t>
  </si>
  <si>
    <t>24) Social Services (Prov'l Social Welfare and Development Office)</t>
  </si>
  <si>
    <t>7611</t>
  </si>
  <si>
    <t>Repair &amp; Maintenance - Buildings and Other Structures</t>
  </si>
  <si>
    <t>Sub - Total (PSWDO-7611)</t>
  </si>
  <si>
    <t>Federation President- F/A (Regional Meeting)</t>
  </si>
  <si>
    <t>ECONOMIC SERVICES</t>
  </si>
  <si>
    <t>25) Agricultural Services (Provincial Agriculturist's Office)</t>
  </si>
  <si>
    <t>8711</t>
  </si>
  <si>
    <t>Sub - Total (PAGRO-8711)</t>
  </si>
  <si>
    <t>PROVINCIAL AGRICULTURAL EXTENSION SERVICES PROGRAM</t>
  </si>
  <si>
    <t>26) Veterinary Services (Provincial Veterinarian's Office)</t>
  </si>
  <si>
    <t>8721</t>
  </si>
  <si>
    <t>COOPERATIVE DEVELOPMENT PROGRAM</t>
  </si>
  <si>
    <t>Sub - Total (PVET-8721)</t>
  </si>
  <si>
    <t>27) Provincial Environment and Natural Resources Office</t>
  </si>
  <si>
    <t>8731</t>
  </si>
  <si>
    <t>Sub - Total (PENRO-8731)</t>
  </si>
  <si>
    <t>28) Engineering Services (Provincial Engineer's Office)</t>
  </si>
  <si>
    <t>Sub - Total (PEO-8751)</t>
  </si>
  <si>
    <t xml:space="preserve">Construction and Heavy Equipments </t>
  </si>
  <si>
    <t>One (1) Unit Hydraulic Press, 100 tons capacity</t>
  </si>
  <si>
    <t>Technical and Scientific Equipment</t>
  </si>
  <si>
    <t>Building</t>
  </si>
  <si>
    <t xml:space="preserve">Road Networks </t>
  </si>
  <si>
    <t>29) Engineering Services (PEO - Motor Pool Operation)</t>
  </si>
  <si>
    <t>Repairs &amp; Maintenance- Machinery &amp; Equipment</t>
  </si>
  <si>
    <t>Sub - Total (MOTORPOOL-8853)</t>
  </si>
  <si>
    <t>30) Engineering Services (PEO - RCPC Casting Operation)</t>
  </si>
  <si>
    <t>Sub - Total (RCPC-8854)</t>
  </si>
  <si>
    <t xml:space="preserve">31) Repairs and Maintenance of Government Facilities - </t>
  </si>
  <si>
    <t>Economic Services</t>
  </si>
  <si>
    <t>Repairs and Maintenance - Infrastructure Assets</t>
  </si>
  <si>
    <t>Rehabilitation of roads/bridges - District 1</t>
  </si>
  <si>
    <t>Rehabilitation of roads/bridges - District 2</t>
  </si>
  <si>
    <t>Sub - Total (20% DEV'T FUND 8917)</t>
  </si>
  <si>
    <t>OTHER PURPOSES</t>
  </si>
  <si>
    <t>20% Development Fund</t>
  </si>
  <si>
    <t>(9911)</t>
  </si>
  <si>
    <t xml:space="preserve">32)  Local Development Project - Public Debt </t>
  </si>
  <si>
    <t>Sub - Total (Public Debt-8917)</t>
  </si>
  <si>
    <t>33) Provincial Disaster Risk Reduction Management Office</t>
  </si>
  <si>
    <t>Sub - Total (PDRRMO-4490)</t>
  </si>
  <si>
    <t>34)   LOCAL DISASTER RISK REDUCTION MANAGEMENT FUND</t>
  </si>
  <si>
    <t>A) 70% Disaster Preparedness and Mitigation, Preparedness,</t>
  </si>
  <si>
    <t>Response, Rehabilitation and Recovery</t>
  </si>
  <si>
    <t xml:space="preserve"> a) Maintenance and Other Operating Expenses</t>
  </si>
  <si>
    <t>Counterpart for Geo-Safer Project with UP Mindanao</t>
  </si>
  <si>
    <t>F/A to Municipality of New Bataan for the repair of shelter to house Families</t>
  </si>
  <si>
    <t>REPAIR &amp; MAINTENANCE OF VARIOUS INFRASTRUCTU RE ASSETS</t>
  </si>
  <si>
    <t>Enhancement of disaster communications and monitoring facilities and systems</t>
  </si>
  <si>
    <t>Provision of funds for climate change adaptation and mitigation for food security:</t>
  </si>
  <si>
    <t>PROVINCIAL CORN &amp; CASSAVA PRODUCTION SUPPORT PROGRAM</t>
  </si>
  <si>
    <t>Repairs and Maintenance-Infrastructure Assets</t>
  </si>
  <si>
    <t>Subsidy to LGU's (Prizes for best implementers)</t>
  </si>
  <si>
    <t xml:space="preserve">B) 30% Quick Response Fund </t>
  </si>
  <si>
    <t>Const'n. of Slope Protection &amp; Drainage Canal @ CVPH-Laak</t>
  </si>
  <si>
    <t xml:space="preserve">Construction of Evacuation Center @ Centennial Homes, Brgy. Pob, </t>
  </si>
  <si>
    <t>Compostela</t>
  </si>
  <si>
    <t>Agricultural and Forestry Equipment</t>
  </si>
  <si>
    <t>Disaster Response and Rescue Equipment</t>
  </si>
  <si>
    <t>Construction of Evacuation Centers:</t>
  </si>
  <si>
    <t>Information and Communication Technology  Equipment</t>
  </si>
  <si>
    <t>Sub - Total (PDRRMF- 9940)</t>
  </si>
  <si>
    <t>35) MISCELLANEOUS PERSONNEL BENEFITS FUND</t>
  </si>
  <si>
    <t>Sub - Total (MPBF-9998)</t>
  </si>
  <si>
    <t>35)  AID TO COMPONENT BARANGAYS</t>
  </si>
  <si>
    <t>Sub - Total (Aid to component barangays-9998)</t>
  </si>
  <si>
    <t>ll.  CONTINUING APPROPRIATIONS</t>
  </si>
  <si>
    <t>1) Executive Services (Governor)</t>
  </si>
  <si>
    <t>Land Improvements, Aquaculture Structures</t>
  </si>
  <si>
    <t>2) Executive Services (Vice Governor)</t>
  </si>
  <si>
    <t>Other Machinery and Equipment</t>
  </si>
  <si>
    <t>3) Legislative Services (Sanguniang Panlalawigan Office)</t>
  </si>
  <si>
    <t>4) General Services Office</t>
  </si>
  <si>
    <t>5) Provincial Treasurer's Office</t>
  </si>
  <si>
    <t>HEALTH SERVICES</t>
  </si>
  <si>
    <t>1000</t>
  </si>
  <si>
    <t>6) Provincial Economic Enterprise Management Office</t>
  </si>
  <si>
    <t>Investment Property, Land</t>
  </si>
  <si>
    <t>8000</t>
  </si>
  <si>
    <t>EVA JEAN S. LICAYAN</t>
  </si>
  <si>
    <t>Provincial Budget Officer</t>
  </si>
  <si>
    <t>SUMMARY:</t>
  </si>
  <si>
    <t>BALANCES OF</t>
  </si>
  <si>
    <t>Particulars</t>
  </si>
  <si>
    <t>ALLOTMENT</t>
  </si>
  <si>
    <t>Annual Budget - 2018</t>
  </si>
  <si>
    <t>Continuing Appropriations</t>
  </si>
  <si>
    <t>Interspecial Account Transfer</t>
  </si>
  <si>
    <t>SB1</t>
  </si>
  <si>
    <t>SB2</t>
  </si>
  <si>
    <t>SB3</t>
  </si>
  <si>
    <t>SB4</t>
  </si>
  <si>
    <t>Unapproriated Balance</t>
  </si>
  <si>
    <t>Declared Savings</t>
  </si>
  <si>
    <t>Difference</t>
  </si>
  <si>
    <t>R/M - Transportation Equipment</t>
  </si>
  <si>
    <t>motorpool</t>
  </si>
  <si>
    <t>ogs pgo</t>
  </si>
  <si>
    <t>note crisis dec 13 augmentation</t>
  </si>
  <si>
    <t>crisis</t>
  </si>
  <si>
    <t>drugs and meds</t>
  </si>
  <si>
    <t>fa</t>
  </si>
  <si>
    <t>ogs</t>
  </si>
  <si>
    <t>checked</t>
  </si>
  <si>
    <t>rcpc</t>
  </si>
  <si>
    <t>various</t>
  </si>
  <si>
    <t>blood</t>
  </si>
  <si>
    <t>environmental</t>
  </si>
  <si>
    <t>ps</t>
  </si>
  <si>
    <t>pgo</t>
  </si>
  <si>
    <t>mooe</t>
  </si>
  <si>
    <t>reg mooe</t>
  </si>
  <si>
    <t>total</t>
  </si>
  <si>
    <t>diff</t>
  </si>
  <si>
    <t>nov dec diff</t>
  </si>
  <si>
    <t>savings</t>
  </si>
  <si>
    <t>augment</t>
  </si>
  <si>
    <t>F/A Girl Scout of the Philippines- Davao Del Norte Chapter</t>
  </si>
  <si>
    <t>sb</t>
  </si>
  <si>
    <t>socio</t>
  </si>
  <si>
    <t>pcl</t>
  </si>
  <si>
    <t>fabc</t>
  </si>
  <si>
    <t>com</t>
  </si>
  <si>
    <t>spirit</t>
  </si>
  <si>
    <t>gad</t>
  </si>
  <si>
    <t>women</t>
  </si>
  <si>
    <t>sports</t>
  </si>
  <si>
    <t>music</t>
  </si>
  <si>
    <t>karu</t>
  </si>
  <si>
    <t>help</t>
  </si>
  <si>
    <t>corrected</t>
  </si>
  <si>
    <t>vgo</t>
  </si>
  <si>
    <t>sp</t>
  </si>
  <si>
    <t>pao</t>
  </si>
  <si>
    <t>training</t>
  </si>
  <si>
    <t>elec</t>
  </si>
  <si>
    <t>tele</t>
  </si>
  <si>
    <t>int</t>
  </si>
  <si>
    <t>cable</t>
  </si>
  <si>
    <t>rm mach</t>
  </si>
  <si>
    <t>hr</t>
  </si>
  <si>
    <t>hrdp</t>
  </si>
  <si>
    <t>em</t>
  </si>
  <si>
    <t>pub</t>
  </si>
  <si>
    <t>technical</t>
  </si>
  <si>
    <t>ppdo</t>
  </si>
  <si>
    <t>gso</t>
  </si>
  <si>
    <t>pbo</t>
  </si>
  <si>
    <t>pacco</t>
  </si>
  <si>
    <t>pto</t>
  </si>
  <si>
    <t>passo</t>
  </si>
  <si>
    <t>plo</t>
  </si>
  <si>
    <t>pho</t>
  </si>
  <si>
    <t>ok pero for effect ang 473.15</t>
  </si>
  <si>
    <t>peemo</t>
  </si>
  <si>
    <t>pswdo</t>
  </si>
  <si>
    <t>pagro</t>
  </si>
  <si>
    <t>reg nov</t>
  </si>
  <si>
    <t>reg dec</t>
  </si>
  <si>
    <t>agri inst</t>
  </si>
  <si>
    <t xml:space="preserve">fishery </t>
  </si>
  <si>
    <t>coop</t>
  </si>
  <si>
    <t>vet</t>
  </si>
  <si>
    <t>reg no</t>
  </si>
  <si>
    <t>penro</t>
  </si>
  <si>
    <t>mining</t>
  </si>
  <si>
    <t>peo</t>
  </si>
  <si>
    <t>moo</t>
  </si>
  <si>
    <t>motorppol</t>
  </si>
  <si>
    <t>for augment</t>
  </si>
  <si>
    <t>environm</t>
  </si>
  <si>
    <t>family</t>
  </si>
  <si>
    <t>special</t>
  </si>
  <si>
    <t>health gov</t>
  </si>
  <si>
    <t>health plan</t>
  </si>
  <si>
    <t>pop</t>
  </si>
  <si>
    <t>infec</t>
  </si>
  <si>
    <t>mont</t>
  </si>
  <si>
    <t xml:space="preserve">overtime and night </t>
  </si>
  <si>
    <t>fol</t>
  </si>
  <si>
    <t>pantukan</t>
  </si>
  <si>
    <t>laak</t>
  </si>
  <si>
    <t>mar</t>
  </si>
  <si>
    <t>travelling</t>
  </si>
  <si>
    <t>Const. of Health Center, Brgy. Mainit, Maco</t>
  </si>
  <si>
    <t>Const. of Health Center, Brgy. Panangan, Maco</t>
  </si>
  <si>
    <t>tel</t>
  </si>
  <si>
    <t>icdp</t>
  </si>
  <si>
    <t>print</t>
  </si>
  <si>
    <t>aircon</t>
  </si>
  <si>
    <t>it</t>
  </si>
  <si>
    <t>doantions</t>
  </si>
  <si>
    <t>med</t>
  </si>
  <si>
    <t>disaster</t>
  </si>
  <si>
    <t>geo safer</t>
  </si>
  <si>
    <t>nha andap</t>
  </si>
  <si>
    <t>relocation</t>
  </si>
  <si>
    <t>centennial</t>
  </si>
  <si>
    <t>slope</t>
  </si>
  <si>
    <t>trav</t>
  </si>
  <si>
    <t>rehab of prov road</t>
  </si>
  <si>
    <t>sb2</t>
  </si>
  <si>
    <t>Provincial Disaster Risk Reduction Management Office</t>
  </si>
  <si>
    <t>Executive Services (Governor)</t>
  </si>
  <si>
    <t>Overtime and Night Pay (Regular) 2017&amp;2018</t>
  </si>
  <si>
    <t xml:space="preserve">Terminal Leave Benefits </t>
  </si>
  <si>
    <t>Other General Services (overtime)</t>
  </si>
  <si>
    <t>Other General Services (overtime Job Order- Tourism Division)</t>
  </si>
  <si>
    <t>CO</t>
  </si>
  <si>
    <t>Capitol Site Development (Documentary Stamp)</t>
  </si>
  <si>
    <t>Construction of PRC (documentary stamp)</t>
  </si>
  <si>
    <t>SP</t>
  </si>
  <si>
    <t>Completion of Legislative Building</t>
  </si>
  <si>
    <t>PEO</t>
  </si>
  <si>
    <t>PAGRO</t>
  </si>
  <si>
    <t>PSWDO</t>
  </si>
  <si>
    <t>Electricity Expenses-Previous Year (Nov 12-Dec 12, 2017)</t>
  </si>
  <si>
    <t>Electricity Expenses-Previous Year (Oct.12-Nov 12, 2017)</t>
  </si>
  <si>
    <t>Limited F/A:Medical,Burial,Food,Disaster Victims -GAD</t>
  </si>
  <si>
    <t>Aid to DRH</t>
  </si>
  <si>
    <t>PGSO</t>
  </si>
  <si>
    <t>HR</t>
  </si>
  <si>
    <t>augmented 200,000</t>
  </si>
  <si>
    <t>PBO</t>
  </si>
  <si>
    <t>PACCO</t>
  </si>
  <si>
    <t>20%</t>
  </si>
  <si>
    <t>sb1</t>
  </si>
  <si>
    <t>PGO</t>
  </si>
  <si>
    <t>MOOE</t>
  </si>
  <si>
    <t>F/A - Sports Facilities - Montevista</t>
  </si>
  <si>
    <t>Socio-Cultural and Arts Program</t>
  </si>
  <si>
    <t>Bayanihan para sa kalusugan- Kusina</t>
  </si>
  <si>
    <t>Repairs and Maintenance - Transportation Expenses Equipment (Payable)</t>
  </si>
  <si>
    <t>Purch of Serv vehicle for Brgy. Awao, Monkayo (addl appro)</t>
  </si>
  <si>
    <t>Bldgs</t>
  </si>
  <si>
    <t>const. of Classrooms- CVSC Poblacion, Laak</t>
  </si>
  <si>
    <t>Const. of study Area at CVSC Campus, Compostela</t>
  </si>
  <si>
    <t>Const. of study Area at CVSC Campus, new bat</t>
  </si>
  <si>
    <t>IT</t>
  </si>
  <si>
    <t>2 units laptop</t>
  </si>
  <si>
    <t>Subdidy to LGUs</t>
  </si>
  <si>
    <t>Repair/Rehab of Cabidianan WS, Nab</t>
  </si>
  <si>
    <t>Const of Solar Dryer, Brgy Mapaca, Comp</t>
  </si>
  <si>
    <t>Conc of Road from p2, Pob Denr admin bldg, nab (addl appro)</t>
  </si>
  <si>
    <t>Const / purch of post harvest facilities- provincewide</t>
  </si>
  <si>
    <t>Training</t>
  </si>
  <si>
    <t>FOL</t>
  </si>
  <si>
    <t>RM Trans</t>
  </si>
  <si>
    <t>SPES</t>
  </si>
  <si>
    <t>OGS</t>
  </si>
  <si>
    <t>20% Devt Fund 1918</t>
  </si>
  <si>
    <t>conc of road from p4 to crossing going to p1 baybay brgy tambongon</t>
  </si>
  <si>
    <t>conc/up of road at kalantas st., brgy pob to purok aguinaldo traydor</t>
  </si>
  <si>
    <t>brgy langgam maco</t>
  </si>
  <si>
    <t>conc of road leading to brgy hall, brgy. Andap, new bat</t>
  </si>
  <si>
    <t>improvement of cov court brgy fatima, new bat</t>
  </si>
  <si>
    <t>const. of footbridge, log cabin, p3 brgy bukal, nab</t>
  </si>
  <si>
    <t>const o cov court, brgy andap, laak</t>
  </si>
  <si>
    <t>const of brgy stage brgy magnaga pantukan</t>
  </si>
  <si>
    <t>const of cov court banbanon laak</t>
  </si>
  <si>
    <t>const of cov court bagong silang laak</t>
  </si>
  <si>
    <t>const of cov court kiokmay laak</t>
  </si>
  <si>
    <t>const of cc new beth laak</t>
  </si>
  <si>
    <t>const of cc cabuyoan mabini</t>
  </si>
  <si>
    <t>p of lot for the const of mp bongabong pantukan</t>
  </si>
  <si>
    <t>const of gym kidawa laak</t>
  </si>
  <si>
    <t>impr of gym kahayag new bat</t>
  </si>
  <si>
    <t>const of th elizalde maco</t>
  </si>
  <si>
    <t>const of th camanlangan new bat</t>
  </si>
  <si>
    <t>const of th of new panay maragusan</t>
  </si>
  <si>
    <t>Hospital &amp; Health Centers</t>
  </si>
  <si>
    <t>Medical Equipment</t>
  </si>
  <si>
    <t>socio cul other prof</t>
  </si>
  <si>
    <t>augment 240,000.</t>
  </si>
  <si>
    <t>pgo can</t>
  </si>
  <si>
    <t>sb4</t>
  </si>
  <si>
    <t>pgo ogs</t>
  </si>
  <si>
    <t>re</t>
  </si>
  <si>
    <t>agumentation</t>
  </si>
  <si>
    <t xml:space="preserve">Other Supplies &amp; Materials Expenses </t>
  </si>
  <si>
    <t>Donations (F/A to purchase sports Sports Development Program equipment)</t>
  </si>
  <si>
    <t>Construction of CVSC Student Lounge</t>
  </si>
  <si>
    <t>Development of Liwanag Center, Brgy. Libasan, Nabunturan</t>
  </si>
  <si>
    <t>Construction of MP. Bldg. Camp Manuel Yan, Brgy. Tuburan, Mawab</t>
  </si>
  <si>
    <t>Construction of Sports Complex-Montevista</t>
  </si>
  <si>
    <t>Improvement of Capitol Bldg.-Repainting</t>
  </si>
  <si>
    <t>Construction of Classrooms-CVSC Poblacion, Laak</t>
  </si>
  <si>
    <t>Construction of Study Area at CVSC Campus Compostela</t>
  </si>
  <si>
    <t>Construction of Study Area at CVSC Campus-New Bataan</t>
  </si>
  <si>
    <t>Purchase of Firearms</t>
  </si>
  <si>
    <t>Fabrication of Movable Steel Bleacher</t>
  </si>
  <si>
    <t>Purchase of Service Vehicles</t>
  </si>
  <si>
    <t>Purchase of Service Vehicle (PNP)</t>
  </si>
  <si>
    <t>Purchase of Service Vehicle (BJMP/PRC)</t>
  </si>
  <si>
    <t xml:space="preserve"> Completion of Covered Court - Cadunan, Mabini</t>
  </si>
  <si>
    <t xml:space="preserve"> Completion of Covered Court - Saosao, Mawab</t>
  </si>
  <si>
    <t xml:space="preserve"> Completion of Covered Court - Salvacion, Mawab</t>
  </si>
  <si>
    <t xml:space="preserve"> Completion of Covered Court - Cabinuangan Elem. School, New Bataan</t>
  </si>
  <si>
    <t xml:space="preserve"> Completion of Covered Court - Ogao, Nabunturan</t>
  </si>
  <si>
    <t xml:space="preserve"> Completion of Covered Court - Tuburan, Mawab</t>
  </si>
  <si>
    <t xml:space="preserve"> Completion of Covered Court - Anislagan, Nabunturan</t>
  </si>
  <si>
    <t xml:space="preserve"> Completion of Covered Court - Inambatan, Monkayo</t>
  </si>
  <si>
    <t xml:space="preserve"> Completion of Covered Court - Mayaon, Montevista</t>
  </si>
  <si>
    <t xml:space="preserve"> Completion of Covered Court - San Isidro, Monkayo</t>
  </si>
  <si>
    <t xml:space="preserve"> Completion of Covered Court - Mangloy, Laak</t>
  </si>
  <si>
    <t xml:space="preserve"> Completion of Covered Court - Sabud, Laak</t>
  </si>
  <si>
    <t xml:space="preserve"> Completion of Covered Court - Sto. Niño, Laak</t>
  </si>
  <si>
    <t xml:space="preserve"> Completion of Covered Court - Langtud, Laak</t>
  </si>
  <si>
    <t xml:space="preserve"> Completion of Covered Court - Longganapan, Laak</t>
  </si>
  <si>
    <t xml:space="preserve"> Completion of Covered Court - Amor Cruz, Laak</t>
  </si>
  <si>
    <t xml:space="preserve"> Completion of Covered Court - Libasan, Nabunturan</t>
  </si>
  <si>
    <t xml:space="preserve"> Completion of Covered Court - Bollukan, Laak</t>
  </si>
  <si>
    <t xml:space="preserve"> Completion of Covered Court - Datu Ampunan, Laak</t>
  </si>
  <si>
    <t xml:space="preserve"> Conc. of Road from Purok 2, Pob. To DENR - Admin. Bldg., Nabunturan</t>
  </si>
  <si>
    <t xml:space="preserve"> Completion of Covered Court - Haguimitan, Monkayo</t>
  </si>
  <si>
    <t xml:space="preserve"> Concreting of CVPH Pantukan road networks</t>
  </si>
  <si>
    <t xml:space="preserve"> Concreting of CVPH Montevista road networks</t>
  </si>
  <si>
    <t xml:space="preserve"> Completion of Covered Court - Pamintaran, Maragusan</t>
  </si>
  <si>
    <t xml:space="preserve"> Completion of Covered Court - Talian, Maragusan</t>
  </si>
  <si>
    <t xml:space="preserve"> Completion of Covered Court - New Albay, Maragusan</t>
  </si>
  <si>
    <t xml:space="preserve"> Completion of Covered Court - Tigbao, Maragusan</t>
  </si>
  <si>
    <t xml:space="preserve"> Completion of Multi-Purpose Building - Cambagang,  Maragusan</t>
  </si>
  <si>
    <t xml:space="preserve"> Completion of Multi-Purpose Hall -New Leyte, Maco </t>
  </si>
  <si>
    <t xml:space="preserve"> Improvement of Multi-Purpose Building - Maragusan</t>
  </si>
  <si>
    <t xml:space="preserve"> Completion of Covered Court - Kinuban, Maco</t>
  </si>
  <si>
    <t xml:space="preserve"> Construction of PDEA Multi-purpose Building, PPO - Nabunturan</t>
  </si>
  <si>
    <t>Provincial Counterparts for  Special Projects</t>
  </si>
  <si>
    <t>Purchase of Lot for the Const. Of Multi-Purpose Hall, Brgy. Bongabong, Pantukan</t>
  </si>
  <si>
    <t>Conc. of Road from P4 to Crossing Going To Prk1, Baybay,Brgy. Tambongon, Pantukan</t>
  </si>
  <si>
    <t>Construction of Gymnasium, Brgy. Kidawa, Laak</t>
  </si>
  <si>
    <t>Improvement of Gymnasium Brgy. Kahayag, New Bataan</t>
  </si>
  <si>
    <t>Construction of Tribal Hall, Brgy. Elizalde, Maco</t>
  </si>
  <si>
    <t>Construction of Tribal Hall, Brgy. Camanlangan, New Bataan</t>
  </si>
  <si>
    <t>Construction of Tribal Hall, Brgy. New Panay, Maragusan</t>
  </si>
  <si>
    <t>Concreting of Road Leading to Brgy. Hall, Brgy. Andap New Bataan</t>
  </si>
  <si>
    <t>Improvement of Covered Court, Brgy. Fatima, New Bataan</t>
  </si>
  <si>
    <t>Construction of Footbridge, Log Cabin, Prk 3, Brgy. Bukal Nabunturan</t>
  </si>
  <si>
    <t>Construction of Covered Court Andap, Laak</t>
  </si>
  <si>
    <t>Construction of Brgy. Stage Magnaga, Pantukan</t>
  </si>
  <si>
    <t>Construction of Covered Court Brgy.Banbanon, Laak</t>
  </si>
  <si>
    <t>Construction of Covered Court Brgy.Bagong Silang, Laak</t>
  </si>
  <si>
    <t>Construction of Covered Court Brgy.Kiokmay, Laak</t>
  </si>
  <si>
    <t>Construction of Covered Court. New Bethlehem, Laak</t>
  </si>
  <si>
    <t>Construction of Covered Court Cabuyoan, Mabini</t>
  </si>
  <si>
    <t>Construction of Multi-Purpose Hall - Casoon, Monkayo</t>
  </si>
  <si>
    <t xml:space="preserve">Repair/ Rehabilitation of Water System </t>
  </si>
  <si>
    <t>Medical, Dental &amp; Laboratory Supplies Expenses</t>
  </si>
  <si>
    <t>Electricity Expenses-PREV YR(NOV 12-DEC 12,2017)</t>
  </si>
  <si>
    <t>Electricity Expenses-PREV YR(OCT.12-NOV 12,2017)</t>
  </si>
  <si>
    <t xml:space="preserve">Educational Assistance </t>
  </si>
  <si>
    <t>Other General Services-OVERTIME SERVICES 2017</t>
  </si>
  <si>
    <t>Completion of Motor Pool Building &amp; Repair Bay</t>
  </si>
  <si>
    <t>Concreting of Road, Brgy. Araibo, Pantukan</t>
  </si>
  <si>
    <t xml:space="preserve">Provisions for logistical support for the pre-positioning of disaster responders, </t>
  </si>
  <si>
    <t>relief operations, and conduct of search, rescue and retrieval operations</t>
  </si>
  <si>
    <t>Food supplies expenses</t>
  </si>
  <si>
    <t>Provision for Pre-Positioning of Relief Goods to Affected Families of Disasters</t>
  </si>
  <si>
    <t>and Calamities</t>
  </si>
  <si>
    <t xml:space="preserve">Provision for fuel, oil and lubricants during the conduct of disaster preparedness </t>
  </si>
  <si>
    <t>activities, search, rescue and retrieval operations</t>
  </si>
  <si>
    <t>Purchase of Other Supplies and Materials</t>
  </si>
  <si>
    <t xml:space="preserve">Repairs and Maintenance of Rescue Tools and Equipment </t>
  </si>
  <si>
    <t>Provision of funds for printing and publication</t>
  </si>
  <si>
    <t>to various hazards</t>
  </si>
  <si>
    <t>Riprapping of SaoSao Bridge</t>
  </si>
  <si>
    <t>Honoraria</t>
  </si>
  <si>
    <t xml:space="preserve">Conduct of Meetings anf Conferences of MDRRR MO, PDRRMC, Council </t>
  </si>
  <si>
    <t xml:space="preserve"> Committees and Crisis Management</t>
  </si>
  <si>
    <t xml:space="preserve">Conduct of earthquake, fire and rescue drills and simulation in government </t>
  </si>
  <si>
    <t>agencies, schools and identified barangays</t>
  </si>
  <si>
    <t>Subsidy to Other LGU's</t>
  </si>
  <si>
    <t>Agricultural and Marine Supplies Expenses</t>
  </si>
  <si>
    <t>Fuel, Oil and Lubricants Expenses (Prior year)</t>
  </si>
  <si>
    <t>Purchase of Relocation Site</t>
  </si>
  <si>
    <t>Provision of Funds for the Purchase of Relocation Site</t>
  </si>
  <si>
    <t>Construction of Disaster  Resilient Post Harvest Facilities</t>
  </si>
  <si>
    <t>Acquisition of  Science-based tools for DRRM and CCA</t>
  </si>
  <si>
    <t>Procurement of additional hazard-specific rescue tools including</t>
  </si>
  <si>
    <t>- Brgy. Bantacan, New Bataan</t>
  </si>
  <si>
    <t>- Brgy. Sta. Maria, Nabunturan</t>
  </si>
  <si>
    <t>- Sitio Anagasi, Casoon, Monkayo</t>
  </si>
  <si>
    <t xml:space="preserve">  Provision of funds for the establishment  of Command Center for 24/7 Operations</t>
  </si>
  <si>
    <t>Construction of Hanging Bridge-New Panay, Maragusan</t>
  </si>
  <si>
    <t>Slope Protection along Banlag - Casoon Road, Monkayo</t>
  </si>
  <si>
    <t>Monitoring Facilities and Systems</t>
  </si>
  <si>
    <t>Communication Equipment</t>
  </si>
  <si>
    <t>Capitol Site Development</t>
  </si>
  <si>
    <t>Improvement of Relocation Site at Brgy.,  Lumatab, Maco</t>
  </si>
  <si>
    <t>Construction of Provincial Rehabilitation Center</t>
  </si>
  <si>
    <t>Still Cam with Video/accessories (Tourism)</t>
  </si>
  <si>
    <t>Vacuum Cleaner</t>
  </si>
  <si>
    <t>Photocopier</t>
  </si>
  <si>
    <t>2 units Lapel (Handy-Investment Promotion)</t>
  </si>
  <si>
    <t>Purchase of one set Mini DV Player GV-HD700HDV Video (IDS)</t>
  </si>
  <si>
    <t>Purchase of one (1) unit Video Mixer(IDS)</t>
  </si>
  <si>
    <t>Purchase of Firearms (For CSU and Jail guards)</t>
  </si>
  <si>
    <t>Purchase of Furniture and Fixtures for Capitol Building</t>
  </si>
  <si>
    <t>Purchase of Furniture and Fixtures for Extension Offices</t>
  </si>
  <si>
    <t>Furniture and Fixtures (PDRRMO)</t>
  </si>
  <si>
    <t>Purchase of various furniture and fixtures</t>
  </si>
  <si>
    <t>Heavy duty Vacuum Cleaner for SP Session Hall</t>
  </si>
  <si>
    <t>Purchase of Sound System SP Session Hall</t>
  </si>
  <si>
    <t>Purchase of Furniture and Fixtures for SP Office</t>
  </si>
  <si>
    <t>Fabrication/Installation of Shelves and Storage Cabinets</t>
  </si>
  <si>
    <t>Purchase of New Digital Camera</t>
  </si>
  <si>
    <t>Various equipment</t>
  </si>
  <si>
    <t>Purchase of glasscutters</t>
  </si>
  <si>
    <t>Furniture &amp; Fixtures</t>
  </si>
  <si>
    <t xml:space="preserve"> Land (Survey/Titling-hospital lots of Montevista and Laak)</t>
  </si>
  <si>
    <t>Laboratory Equipment</t>
  </si>
  <si>
    <t>Overtime and Night Pay (Regular) 2017 &amp; 2018</t>
  </si>
  <si>
    <t>Other General Services (OVERTIME JOB ORDER-TOURISM DIVISION)</t>
  </si>
  <si>
    <t xml:space="preserve">      g) Special Civilian Armed Forces Geographical Unit Active Auxiliary (SCAA)</t>
  </si>
  <si>
    <t xml:space="preserve">      a) Bayanihan para sa Sambayanan Peace and Development Program</t>
  </si>
  <si>
    <t>Purchase of Aircondition Units</t>
  </si>
  <si>
    <t xml:space="preserve"> Brgy. Langgam, Maco</t>
  </si>
  <si>
    <t>Concreting /Upgrading of Road @ Kalantas St, Brgy. Pob to Prk Aguinaldo,</t>
  </si>
  <si>
    <t>SURETY FUND (CVKSF)</t>
  </si>
  <si>
    <t xml:space="preserve"> Completion of Health Center - Mapaang, Maco </t>
  </si>
  <si>
    <t xml:space="preserve">Representation Expenses  </t>
  </si>
  <si>
    <t xml:space="preserve">Water Expenses  </t>
  </si>
  <si>
    <t xml:space="preserve">Prizes  </t>
  </si>
  <si>
    <t xml:space="preserve">Limited F/A:Medical, Burial, Food, Disaster Victims  </t>
  </si>
  <si>
    <t xml:space="preserve">Southern Philippines Medical Center </t>
  </si>
  <si>
    <t xml:space="preserve">CVP-Hospitals </t>
  </si>
  <si>
    <t xml:space="preserve">Rehabilitation Centers </t>
  </si>
  <si>
    <t xml:space="preserve">Other Professional Services  </t>
  </si>
  <si>
    <t xml:space="preserve">Donations (Prizes)  </t>
  </si>
  <si>
    <t xml:space="preserve">Traveling Expenses - Local  </t>
  </si>
  <si>
    <t xml:space="preserve">Telephone Expenses - Mobile  </t>
  </si>
  <si>
    <t xml:space="preserve">Donations  </t>
  </si>
  <si>
    <t xml:space="preserve">      a) Provincial Integration Program for Former Rebels  </t>
  </si>
  <si>
    <t xml:space="preserve">Other Supplies &amp; Materials Expenses  </t>
  </si>
  <si>
    <t xml:space="preserve">Food Supplies Expenses  </t>
  </si>
  <si>
    <t xml:space="preserve">Davao Regional Hospital </t>
  </si>
  <si>
    <t xml:space="preserve">Office Supplies Expenses  </t>
  </si>
  <si>
    <t>Muslim Community Development Program</t>
  </si>
  <si>
    <t>Sub - Total (PGSO -1061)</t>
  </si>
  <si>
    <t>Office Supplies Expenses- Consolidated</t>
  </si>
  <si>
    <t>Other Supplies &amp; Matrials Expenses- Consolidated</t>
  </si>
  <si>
    <t>Repairs &amp; Maintenance-Machinery and Equipment</t>
  </si>
  <si>
    <t>icheck ang RED</t>
  </si>
  <si>
    <t>Establishment of Property &amp; Supply Mgt. Program Information System</t>
  </si>
  <si>
    <t>Accountable Forms Expenses</t>
  </si>
  <si>
    <t>Traveling Expenses - Local</t>
  </si>
  <si>
    <t>Fidelity Bond Premiums</t>
  </si>
  <si>
    <t>Repair and Maintenance - Furniture and Fixtures</t>
  </si>
  <si>
    <t>Other Supplies and Materials Expenses (Cooking Gas Expenses)</t>
  </si>
  <si>
    <t xml:space="preserve">Traveling Expenses - Local </t>
  </si>
  <si>
    <t>F/A to Purchase of Lot for Brgy Site Brgy. Bongbong, Pantukan</t>
  </si>
  <si>
    <t>SPECIAL PROGRAM (COMPREHENSIVE OUTREACH PROGRAM)</t>
  </si>
  <si>
    <t xml:space="preserve">HEALTH GOVERNANCE &amp; REGULATION PROGRAM </t>
  </si>
  <si>
    <t>HEALTH PLANNING, PROMOTION &amp; INFORMATION SYSTEM PROGRAM</t>
  </si>
  <si>
    <t>Office Supplies Expenses Expenses</t>
  </si>
  <si>
    <t>Fuel, Oil &amp; Lubricants Expenses</t>
  </si>
  <si>
    <t>Repair and Maintenance- Land Improvements</t>
  </si>
  <si>
    <t xml:space="preserve">MAINTENANCE &amp; OPERATION OF PROVINCIAL MINING REGULATORY </t>
  </si>
  <si>
    <t>BOARD</t>
  </si>
  <si>
    <t>MAINTENANCE &amp; OPERATION OF PROV'L YOUTH DEV'T COUNCIL (SK)</t>
  </si>
  <si>
    <t>SPECIAL PROGRAM FOR EMPLOYMENT OF STUDENTS (SPES)</t>
  </si>
  <si>
    <t>Representation Expenses Allowance (RA)</t>
  </si>
  <si>
    <t>Kalinga sa Kabataan/Bayanihan para sa Karunungan Program</t>
  </si>
  <si>
    <t>Peace and Order and Public Safety Program</t>
  </si>
  <si>
    <t>Crime Prevention and Law Enforcement Program</t>
  </si>
  <si>
    <t>Maintenance and Operation of Provincial Government Help Desk Offices</t>
  </si>
  <si>
    <t>Subsidy to Hospitals (PEEMO)</t>
  </si>
  <si>
    <t xml:space="preserve">      a.) Provincial Peace and Order Council (PPOC)</t>
  </si>
  <si>
    <t xml:space="preserve">      b.) Provincial Anti-Drug Abuse Council (PADAC)</t>
  </si>
  <si>
    <t xml:space="preserve">      c)  Provincial Anti-Drug Abuse Council (PADAC) - NON GAD</t>
  </si>
  <si>
    <t xml:space="preserve">  4. Aid/Capability Development for personnel of law enforcement agencies and </t>
  </si>
  <si>
    <t>volunteer partners</t>
  </si>
  <si>
    <t xml:space="preserve">      b) Assistance/Insurance to Brgy Officials/KKP/DILG accredited CVOs/Brgy. </t>
  </si>
  <si>
    <t>Police</t>
  </si>
  <si>
    <t>PUBLIC SAFETY PROGRAM</t>
  </si>
  <si>
    <t xml:space="preserve">   a.) Financial Assistance to Street lighting/Electrification Projects</t>
  </si>
  <si>
    <t>Tribal Community Development Program</t>
  </si>
  <si>
    <t>Tourism Development and Promotion Program</t>
  </si>
  <si>
    <t>Investment Development and Promotion Program</t>
  </si>
  <si>
    <t>(Maintenance and Operation of Provincial Investment Promotion Center)</t>
  </si>
  <si>
    <t>Information Technology and Communications Development Program</t>
  </si>
  <si>
    <t>Technical Education Skills and Livelihood</t>
  </si>
  <si>
    <t>Environmental Sanitation Program</t>
  </si>
  <si>
    <t>(NON-COMMUNICABLE PREVENTION AND CONTROL PROGRAM)</t>
  </si>
  <si>
    <t>PREVENTION AND CONTROL OF CHRONIC LIFESTYLE</t>
  </si>
  <si>
    <t>Family Health Program</t>
  </si>
  <si>
    <t xml:space="preserve"> (Maternal, Newborn, Child Health and Nutrition Program)</t>
  </si>
  <si>
    <t xml:space="preserve">             (RHIS, HEMP, VHW, Health Education)</t>
  </si>
  <si>
    <t>IP YOUTH DEVELOPMENT PROGRAM</t>
  </si>
  <si>
    <t>MUSLIM YOUTH DEVELOPMENT PROGRAM</t>
  </si>
  <si>
    <t>WOMEN YOUTH (WOMEN YOUTH DEVELOPMENT PROGRAM)</t>
  </si>
  <si>
    <t>AGRICULTURAL INSTITUTIONAL SUPPORT DEVELOPMENT PROGRAM</t>
  </si>
  <si>
    <t xml:space="preserve">CONTRIBUTION TO THE COMPOSTELA VALLEY KOOP NEGOSYO </t>
  </si>
  <si>
    <t>OPERATION &amp; MAINTENANCE OF AGRICULTURAL MACHINERY,</t>
  </si>
  <si>
    <t>EQUIPMENT AND INFRASTRUCTURE</t>
  </si>
  <si>
    <t xml:space="preserve">OPERATION AND MAINTENANCE OF TISSUE CULTURE LABORATORY </t>
  </si>
  <si>
    <t>FOR BANANA</t>
  </si>
  <si>
    <t>Rehabilitation of Provincial Roads/Bridges</t>
  </si>
  <si>
    <t>Repairs and Maintenance of Equipment Used for Disaster Projects</t>
  </si>
  <si>
    <t>Development, reproduction and distribution of IEC materials for families at risk</t>
  </si>
  <si>
    <t>gender concerns</t>
  </si>
  <si>
    <t xml:space="preserve">Conduct and attend disaster related Training Expenses, seminars, </t>
  </si>
  <si>
    <t xml:space="preserve">workshops, meetings, conferences, fora, drills and simulations integrating </t>
  </si>
  <si>
    <t xml:space="preserve">ESTABLISH &amp; UPDATE FAMILY RISK PROFILE @ THE MUNICIPAL &amp; </t>
  </si>
  <si>
    <t>BRGY. LEVELS</t>
  </si>
  <si>
    <t>GREENING PROGRAM</t>
  </si>
  <si>
    <t xml:space="preserve">AGRI-INFRASTRUCTURE, PRE &amp; POST-HARVEST FACILITY DEV'T </t>
  </si>
  <si>
    <t>PROGRAM</t>
  </si>
  <si>
    <t>ORGANIC AGRICULTURAL SUPPORT PROGRAM</t>
  </si>
  <si>
    <t>WASH tools and equipment</t>
  </si>
  <si>
    <t>Subscription Expenses (eTRACS)</t>
  </si>
  <si>
    <t>GENERAL FUND, 20% DEVELOPMENT FUND &amp; LOCAL ECONOMIC ENTERPRISE</t>
  </si>
  <si>
    <t>Checking</t>
  </si>
  <si>
    <t>6) Provincial Veterinarian's Office</t>
  </si>
  <si>
    <t>nausab</t>
  </si>
  <si>
    <t>wala nausab</t>
  </si>
  <si>
    <t>Completion of Legislative Building (Documentary Stamp)</t>
  </si>
  <si>
    <t>Furniture and Fixtures (Documentary Stamp)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</si>
</sst>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0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sz val="10"/>
      <color rgb="FF006100"/>
      <name val="Arial Narrow"/>
      <family val="2"/>
    </font>
    <font>
      <sz val="10"/>
      <color rgb="FF9C0006"/>
      <name val="Arial Narrow"/>
      <family val="2"/>
    </font>
    <font>
      <sz val="10"/>
      <color rgb="FF9C6500"/>
      <name val="Arial Narrow"/>
      <family val="2"/>
    </font>
    <font>
      <sz val="10"/>
      <color rgb="FF3F3F76"/>
      <name val="Arial Narrow"/>
      <family val="2"/>
    </font>
    <font>
      <b/>
      <sz val="10"/>
      <color rgb="FF3F3F3F"/>
      <name val="Arial Narrow"/>
      <family val="2"/>
    </font>
    <font>
      <b/>
      <sz val="10"/>
      <color rgb="FFFA7D00"/>
      <name val="Arial Narrow"/>
      <family val="2"/>
    </font>
    <font>
      <sz val="10"/>
      <color rgb="FFFA7D0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i/>
      <sz val="10"/>
      <color rgb="FF7F7F7F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u/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rgb="FF00000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19">
    <xf numFmtId="0" fontId="0" fillId="0" borderId="0" xfId="0"/>
    <xf numFmtId="43" fontId="0" fillId="0" borderId="0" xfId="1" applyFont="1"/>
    <xf numFmtId="0" fontId="19" fillId="0" borderId="0" xfId="0" applyFont="1" applyFill="1" applyAlignment="1"/>
    <xf numFmtId="0" fontId="18" fillId="0" borderId="0" xfId="0" applyFont="1" applyFill="1"/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8" fillId="0" borderId="0" xfId="0" applyFont="1" applyFill="1" applyAlignment="1">
      <alignment horizontal="center"/>
    </xf>
    <xf numFmtId="43" fontId="18" fillId="0" borderId="0" xfId="1" applyFont="1" applyFill="1"/>
    <xf numFmtId="43" fontId="20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0" fillId="0" borderId="0" xfId="0" applyFont="1" applyFill="1"/>
    <xf numFmtId="43" fontId="22" fillId="0" borderId="0" xfId="1" applyFont="1" applyFill="1" applyAlignment="1">
      <alignment horizontal="center"/>
    </xf>
    <xf numFmtId="43" fontId="20" fillId="0" borderId="0" xfId="1" applyFont="1" applyFill="1"/>
    <xf numFmtId="43" fontId="22" fillId="0" borderId="0" xfId="1" applyFont="1" applyFill="1"/>
    <xf numFmtId="43" fontId="18" fillId="0" borderId="0" xfId="1" applyFont="1" applyFill="1" applyAlignment="1">
      <alignment horizontal="center"/>
    </xf>
    <xf numFmtId="43" fontId="18" fillId="0" borderId="0" xfId="1" applyFont="1"/>
    <xf numFmtId="43" fontId="20" fillId="0" borderId="10" xfId="1" applyFont="1" applyFill="1" applyBorder="1"/>
    <xf numFmtId="0" fontId="21" fillId="0" borderId="0" xfId="0" quotePrefix="1" applyFont="1" applyFill="1" applyAlignment="1">
      <alignment horizontal="center"/>
    </xf>
    <xf numFmtId="0" fontId="19" fillId="0" borderId="0" xfId="0" applyFont="1" applyFill="1"/>
    <xf numFmtId="0" fontId="23" fillId="0" borderId="0" xfId="0" applyFont="1" applyFill="1" applyAlignment="1"/>
    <xf numFmtId="0" fontId="21" fillId="0" borderId="0" xfId="0" applyFont="1" applyFill="1"/>
    <xf numFmtId="43" fontId="21" fillId="0" borderId="12" xfId="43" applyFont="1" applyFill="1" applyBorder="1" applyAlignment="1"/>
    <xf numFmtId="0" fontId="19" fillId="0" borderId="13" xfId="44" applyFont="1" applyFill="1" applyBorder="1" applyAlignment="1"/>
    <xf numFmtId="0" fontId="21" fillId="0" borderId="14" xfId="44" applyFont="1" applyFill="1" applyBorder="1" applyAlignment="1"/>
    <xf numFmtId="0" fontId="21" fillId="0" borderId="12" xfId="44" applyFont="1" applyFill="1" applyBorder="1" applyAlignment="1">
      <alignment horizontal="center"/>
    </xf>
    <xf numFmtId="43" fontId="21" fillId="0" borderId="14" xfId="44" applyNumberFormat="1" applyFont="1" applyFill="1" applyBorder="1" applyAlignment="1"/>
    <xf numFmtId="0" fontId="21" fillId="0" borderId="13" xfId="44" applyFont="1" applyFill="1" applyBorder="1" applyAlignment="1">
      <alignment horizontal="center"/>
    </xf>
    <xf numFmtId="43" fontId="21" fillId="0" borderId="12" xfId="44" applyNumberFormat="1" applyFont="1" applyFill="1" applyBorder="1" applyAlignment="1"/>
    <xf numFmtId="43" fontId="21" fillId="0" borderId="13" xfId="44" applyNumberFormat="1" applyFont="1" applyFill="1" applyBorder="1" applyAlignment="1"/>
    <xf numFmtId="43" fontId="21" fillId="0" borderId="15" xfId="43" applyFont="1" applyFill="1" applyBorder="1" applyAlignment="1"/>
    <xf numFmtId="0" fontId="19" fillId="0" borderId="0" xfId="44" applyFont="1" applyFill="1" applyBorder="1" applyAlignment="1"/>
    <xf numFmtId="0" fontId="21" fillId="0" borderId="16" xfId="44" applyFont="1" applyFill="1" applyBorder="1" applyAlignment="1"/>
    <xf numFmtId="43" fontId="21" fillId="0" borderId="16" xfId="44" applyNumberFormat="1" applyFont="1" applyFill="1" applyBorder="1" applyAlignment="1"/>
    <xf numFmtId="43" fontId="21" fillId="0" borderId="15" xfId="44" applyNumberFormat="1" applyFont="1" applyFill="1" applyBorder="1" applyAlignment="1"/>
    <xf numFmtId="43" fontId="21" fillId="0" borderId="0" xfId="44" applyNumberFormat="1" applyFont="1" applyFill="1" applyBorder="1" applyAlignment="1"/>
    <xf numFmtId="0" fontId="19" fillId="0" borderId="13" xfId="44" applyFont="1" applyFill="1" applyBorder="1" applyAlignment="1">
      <alignment horizontal="center"/>
    </xf>
    <xf numFmtId="0" fontId="21" fillId="0" borderId="14" xfId="44" applyFont="1" applyFill="1" applyBorder="1" applyAlignment="1">
      <alignment horizontal="center"/>
    </xf>
    <xf numFmtId="43" fontId="21" fillId="0" borderId="12" xfId="44" applyNumberFormat="1" applyFont="1" applyFill="1" applyBorder="1" applyAlignment="1">
      <alignment horizontal="center"/>
    </xf>
    <xf numFmtId="43" fontId="21" fillId="0" borderId="14" xfId="44" applyNumberFormat="1" applyFont="1" applyFill="1" applyBorder="1" applyAlignment="1">
      <alignment horizontal="center"/>
    </xf>
    <xf numFmtId="43" fontId="21" fillId="0" borderId="15" xfId="44" applyNumberFormat="1" applyFont="1" applyFill="1" applyBorder="1" applyAlignment="1">
      <alignment horizontal="center"/>
    </xf>
    <xf numFmtId="43" fontId="21" fillId="0" borderId="0" xfId="44" applyNumberFormat="1" applyFont="1" applyFill="1" applyBorder="1" applyAlignment="1">
      <alignment horizontal="center"/>
    </xf>
    <xf numFmtId="43" fontId="21" fillId="0" borderId="16" xfId="43" applyFont="1" applyFill="1" applyBorder="1" applyAlignment="1">
      <alignment horizontal="center"/>
    </xf>
    <xf numFmtId="0" fontId="21" fillId="0" borderId="15" xfId="44" applyFont="1" applyFill="1" applyBorder="1" applyAlignment="1">
      <alignment horizontal="left"/>
    </xf>
    <xf numFmtId="0" fontId="21" fillId="0" borderId="15" xfId="44" applyFont="1" applyFill="1" applyBorder="1" applyAlignment="1"/>
    <xf numFmtId="0" fontId="21" fillId="0" borderId="0" xfId="44" applyFont="1" applyFill="1" applyBorder="1" applyAlignment="1"/>
    <xf numFmtId="43" fontId="21" fillId="0" borderId="0" xfId="43" applyFont="1" applyFill="1" applyBorder="1" applyAlignment="1"/>
    <xf numFmtId="43" fontId="21" fillId="0" borderId="16" xfId="43" applyFont="1" applyFill="1" applyBorder="1" applyAlignment="1"/>
    <xf numFmtId="43" fontId="21" fillId="0" borderId="0" xfId="1" applyFont="1" applyFill="1" applyBorder="1" applyAlignment="1"/>
    <xf numFmtId="43" fontId="21" fillId="0" borderId="16" xfId="1" applyFont="1" applyFill="1" applyBorder="1" applyAlignment="1"/>
    <xf numFmtId="0" fontId="21" fillId="0" borderId="17" xfId="44" applyFont="1" applyFill="1" applyBorder="1" applyAlignment="1"/>
    <xf numFmtId="43" fontId="21" fillId="0" borderId="18" xfId="44" applyNumberFormat="1" applyFont="1" applyFill="1" applyBorder="1" applyAlignment="1"/>
    <xf numFmtId="43" fontId="21" fillId="0" borderId="10" xfId="1" applyFont="1" applyFill="1" applyBorder="1" applyAlignment="1"/>
    <xf numFmtId="43" fontId="21" fillId="0" borderId="17" xfId="44" applyNumberFormat="1" applyFont="1" applyFill="1" applyBorder="1" applyAlignment="1"/>
    <xf numFmtId="43" fontId="21" fillId="0" borderId="10" xfId="44" applyNumberFormat="1" applyFont="1" applyFill="1" applyBorder="1" applyAlignment="1"/>
    <xf numFmtId="43" fontId="21" fillId="0" borderId="18" xfId="1" applyFont="1" applyFill="1" applyBorder="1" applyAlignment="1"/>
    <xf numFmtId="0" fontId="21" fillId="0" borderId="19" xfId="44" applyFont="1" applyFill="1" applyBorder="1" applyAlignment="1"/>
    <xf numFmtId="43" fontId="21" fillId="0" borderId="20" xfId="44" applyNumberFormat="1" applyFont="1" applyFill="1" applyBorder="1" applyAlignment="1"/>
    <xf numFmtId="43" fontId="21" fillId="0" borderId="19" xfId="44" applyNumberFormat="1" applyFont="1" applyFill="1" applyBorder="1" applyAlignment="1"/>
    <xf numFmtId="43" fontId="21" fillId="0" borderId="20" xfId="1" applyFont="1" applyFill="1" applyBorder="1" applyAlignment="1"/>
    <xf numFmtId="43" fontId="21" fillId="0" borderId="19" xfId="1" applyFont="1" applyFill="1" applyBorder="1" applyAlignment="1"/>
    <xf numFmtId="0" fontId="19" fillId="0" borderId="10" xfId="44" applyFont="1" applyFill="1" applyBorder="1" applyAlignment="1"/>
    <xf numFmtId="0" fontId="21" fillId="0" borderId="18" xfId="44" applyFont="1" applyFill="1" applyBorder="1" applyAlignment="1"/>
    <xf numFmtId="0" fontId="21" fillId="0" borderId="10" xfId="44" applyFont="1" applyFill="1" applyBorder="1" applyAlignment="1"/>
    <xf numFmtId="43" fontId="20" fillId="0" borderId="0" xfId="1" applyFont="1" applyFill="1" applyBorder="1"/>
    <xf numFmtId="43" fontId="0" fillId="0" borderId="0" xfId="1" applyFont="1" applyAlignment="1">
      <alignment horizontal="center"/>
    </xf>
    <xf numFmtId="0" fontId="16" fillId="0" borderId="0" xfId="0" applyFont="1"/>
    <xf numFmtId="0" fontId="0" fillId="0" borderId="0" xfId="0" applyFont="1"/>
    <xf numFmtId="43" fontId="0" fillId="33" borderId="0" xfId="1" applyFont="1" applyFill="1"/>
    <xf numFmtId="0" fontId="27" fillId="0" borderId="0" xfId="0" applyFont="1" applyFill="1"/>
    <xf numFmtId="43" fontId="27" fillId="0" borderId="0" xfId="1" applyFont="1" applyFill="1"/>
    <xf numFmtId="43" fontId="28" fillId="0" borderId="0" xfId="1" applyFont="1" applyFill="1" applyAlignment="1">
      <alignment horizontal="center"/>
    </xf>
    <xf numFmtId="0" fontId="28" fillId="0" borderId="0" xfId="0" applyFont="1" applyFill="1"/>
    <xf numFmtId="43" fontId="29" fillId="0" borderId="0" xfId="1" applyFont="1" applyFill="1" applyAlignment="1">
      <alignment horizontal="center"/>
    </xf>
    <xf numFmtId="43" fontId="28" fillId="0" borderId="0" xfId="1" applyFont="1" applyFill="1"/>
    <xf numFmtId="43" fontId="29" fillId="0" borderId="0" xfId="1" applyFont="1" applyFill="1"/>
    <xf numFmtId="9" fontId="0" fillId="0" borderId="0" xfId="0" applyNumberFormat="1"/>
    <xf numFmtId="0" fontId="28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9" fontId="0" fillId="0" borderId="0" xfId="0" quotePrefix="1" applyNumberFormat="1"/>
    <xf numFmtId="43" fontId="16" fillId="0" borderId="0" xfId="0" applyNumberFormat="1" applyFont="1"/>
    <xf numFmtId="0" fontId="29" fillId="0" borderId="0" xfId="0" applyFont="1" applyFill="1" applyAlignment="1">
      <alignment horizontal="left"/>
    </xf>
    <xf numFmtId="4" fontId="0" fillId="0" borderId="0" xfId="0" applyNumberFormat="1"/>
    <xf numFmtId="43" fontId="0" fillId="0" borderId="0" xfId="0" applyNumberFormat="1"/>
    <xf numFmtId="43" fontId="16" fillId="0" borderId="0" xfId="1" applyFont="1"/>
    <xf numFmtId="0" fontId="0" fillId="0" borderId="0" xfId="0" applyAlignment="1">
      <alignment vertical="top"/>
    </xf>
    <xf numFmtId="43" fontId="0" fillId="0" borderId="0" xfId="0" applyNumberFormat="1" applyFont="1"/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5" xfId="44" applyFont="1" applyFill="1" applyBorder="1" applyAlignment="1">
      <alignment horizontal="center"/>
    </xf>
    <xf numFmtId="0" fontId="21" fillId="0" borderId="0" xfId="44" applyFont="1" applyFill="1" applyBorder="1" applyAlignment="1">
      <alignment horizontal="center"/>
    </xf>
    <xf numFmtId="43" fontId="18" fillId="0" borderId="0" xfId="0" applyNumberFormat="1" applyFont="1" applyFill="1"/>
    <xf numFmtId="0" fontId="26" fillId="0" borderId="0" xfId="0" applyFont="1" applyFill="1" applyAlignment="1">
      <alignment vertical="center"/>
    </xf>
    <xf numFmtId="43" fontId="21" fillId="0" borderId="0" xfId="1" applyFont="1" applyFill="1"/>
    <xf numFmtId="43" fontId="18" fillId="0" borderId="0" xfId="1" applyFont="1" applyFill="1" applyBorder="1"/>
    <xf numFmtId="0" fontId="18" fillId="0" borderId="0" xfId="0" applyFont="1" applyFill="1" applyBorder="1"/>
    <xf numFmtId="43" fontId="18" fillId="0" borderId="10" xfId="1" applyFont="1" applyFill="1" applyBorder="1"/>
    <xf numFmtId="43" fontId="20" fillId="0" borderId="11" xfId="1" applyFont="1" applyFill="1" applyBorder="1"/>
    <xf numFmtId="43" fontId="18" fillId="0" borderId="11" xfId="1" applyFont="1" applyFill="1" applyBorder="1"/>
    <xf numFmtId="0" fontId="20" fillId="0" borderId="10" xfId="0" applyFont="1" applyFill="1" applyBorder="1"/>
    <xf numFmtId="9" fontId="18" fillId="0" borderId="0" xfId="0" applyNumberFormat="1" applyFont="1" applyFill="1" applyAlignment="1">
      <alignment horizontal="left"/>
    </xf>
    <xf numFmtId="43" fontId="18" fillId="34" borderId="0" xfId="1" applyFont="1" applyFill="1"/>
    <xf numFmtId="43" fontId="18" fillId="33" borderId="0" xfId="1" applyFont="1" applyFill="1"/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43" fontId="25" fillId="0" borderId="0" xfId="43" applyFont="1" applyFill="1" applyBorder="1" applyAlignment="1">
      <alignment horizontal="center"/>
    </xf>
    <xf numFmtId="0" fontId="21" fillId="0" borderId="15" xfId="44" applyFont="1" applyFill="1" applyBorder="1" applyAlignment="1">
      <alignment horizontal="center"/>
    </xf>
    <xf numFmtId="0" fontId="21" fillId="0" borderId="0" xfId="44" applyFont="1" applyFill="1" applyBorder="1" applyAlignment="1">
      <alignment horizontal="center"/>
    </xf>
    <xf numFmtId="0" fontId="21" fillId="0" borderId="16" xfId="44" applyFont="1" applyFill="1" applyBorder="1" applyAlignment="1">
      <alignment horizontal="center"/>
    </xf>
    <xf numFmtId="0" fontId="21" fillId="0" borderId="17" xfId="44" applyFont="1" applyFill="1" applyBorder="1" applyAlignment="1">
      <alignment horizontal="center"/>
    </xf>
    <xf numFmtId="0" fontId="21" fillId="0" borderId="10" xfId="44" applyFont="1" applyFill="1" applyBorder="1" applyAlignment="1">
      <alignment horizontal="center"/>
    </xf>
    <xf numFmtId="0" fontId="21" fillId="0" borderId="18" xfId="44" applyFont="1" applyFill="1" applyBorder="1" applyAlignment="1">
      <alignment horizontal="center"/>
    </xf>
    <xf numFmtId="0" fontId="21" fillId="0" borderId="17" xfId="44" applyFont="1" applyFill="1" applyBorder="1" applyAlignment="1" applyProtection="1">
      <alignment horizontal="center"/>
      <protection locked="0"/>
    </xf>
    <xf numFmtId="0" fontId="21" fillId="0" borderId="10" xfId="44" applyFont="1" applyFill="1" applyBorder="1" applyAlignment="1" applyProtection="1">
      <alignment horizontal="center"/>
      <protection locked="0"/>
    </xf>
    <xf numFmtId="0" fontId="29" fillId="0" borderId="0" xfId="0" applyFont="1" applyFill="1" applyAlignment="1">
      <alignment horizontal="left"/>
    </xf>
    <xf numFmtId="43" fontId="0" fillId="0" borderId="0" xfId="1" applyFont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1890</xdr:row>
      <xdr:rowOff>0</xdr:rowOff>
    </xdr:from>
    <xdr:to>
      <xdr:col>4</xdr:col>
      <xdr:colOff>0</xdr:colOff>
      <xdr:row>1890</xdr:row>
      <xdr:rowOff>19050</xdr:rowOff>
    </xdr:to>
    <xdr:pic>
      <xdr:nvPicPr>
        <xdr:cNvPr id="2" name="Picture 797" descr="logo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16972950"/>
          <a:ext cx="2305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704850</xdr:colOff>
      <xdr:row>1890</xdr:row>
      <xdr:rowOff>0</xdr:rowOff>
    </xdr:from>
    <xdr:to>
      <xdr:col>4</xdr:col>
      <xdr:colOff>0</xdr:colOff>
      <xdr:row>1890</xdr:row>
      <xdr:rowOff>19050</xdr:rowOff>
    </xdr:to>
    <xdr:pic>
      <xdr:nvPicPr>
        <xdr:cNvPr id="3" name="Picture 797" descr="logo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16972950"/>
          <a:ext cx="2305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C2018%20final-%2020%25%20DEVT%20FU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C2018%20final-%20ECONOMIC%20ENTERPRI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FRA\Documents\Received%20Files\DEC2018%20final-%20GEND%20FUN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l\SAAOB\2018\Nov%2030,%202018\SAAOB%20FINAL%20NOV30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2018"/>
      <sheetName val="sb1"/>
      <sheetName val="sb2"/>
      <sheetName val="sb3"/>
      <sheetName val="sb4"/>
      <sheetName val="udit"/>
      <sheetName val="Sheet1"/>
    </sheetNames>
    <sheetDataSet>
      <sheetData sheetId="0">
        <row r="12">
          <cell r="H12">
            <v>282039226.89999998</v>
          </cell>
          <cell r="J12">
            <v>281511012.89999998</v>
          </cell>
          <cell r="L12">
            <v>228554536.54999995</v>
          </cell>
          <cell r="N12">
            <v>528214</v>
          </cell>
          <cell r="P12">
            <v>52956476.350000016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2018"/>
      <sheetName val="sb1"/>
      <sheetName val="sb2"/>
      <sheetName val="sb3"/>
      <sheetName val="sb4"/>
      <sheetName val="udit"/>
      <sheetName val="Sheet1"/>
    </sheetNames>
    <sheetDataSet>
      <sheetData sheetId="0">
        <row r="12">
          <cell r="H12">
            <v>410779780.82000005</v>
          </cell>
          <cell r="J12">
            <v>410679780.82000005</v>
          </cell>
          <cell r="L12">
            <v>394918958.79000002</v>
          </cell>
          <cell r="N12">
            <v>100000</v>
          </cell>
          <cell r="P12">
            <v>15760822.030000001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2018"/>
      <sheetName val="sb1"/>
      <sheetName val="sb2"/>
      <sheetName val="sb3"/>
      <sheetName val="sb4"/>
      <sheetName val="udit"/>
      <sheetName val="Sheet1"/>
    </sheetNames>
    <sheetDataSet>
      <sheetData sheetId="0">
        <row r="12">
          <cell r="H12">
            <v>1267730678.74</v>
          </cell>
          <cell r="J12">
            <v>1227260796.01</v>
          </cell>
          <cell r="L12">
            <v>1164022878.8899999</v>
          </cell>
          <cell r="N12">
            <v>40469882.730000004</v>
          </cell>
          <cell r="P12">
            <v>63237917.11999999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30"/>
      <sheetName val="udit"/>
      <sheetName val="sb3"/>
      <sheetName val="sb2"/>
      <sheetName val="sb1"/>
    </sheetNames>
    <sheetDataSet>
      <sheetData sheetId="0">
        <row r="26">
          <cell r="I26">
            <v>83041863.36999999</v>
          </cell>
        </row>
        <row r="42">
          <cell r="I42">
            <v>3632700</v>
          </cell>
        </row>
        <row r="43">
          <cell r="I43">
            <v>268146.32</v>
          </cell>
        </row>
        <row r="44">
          <cell r="I44">
            <v>1921000</v>
          </cell>
        </row>
        <row r="45">
          <cell r="I45">
            <v>28662854</v>
          </cell>
        </row>
        <row r="46">
          <cell r="I46">
            <v>37750</v>
          </cell>
        </row>
        <row r="47">
          <cell r="I47">
            <v>418760</v>
          </cell>
        </row>
        <row r="48">
          <cell r="I48">
            <v>556000</v>
          </cell>
        </row>
        <row r="49">
          <cell r="I49">
            <v>48970293.600000001</v>
          </cell>
        </row>
        <row r="50">
          <cell r="I50">
            <v>15000000</v>
          </cell>
        </row>
        <row r="51">
          <cell r="I51">
            <v>60000</v>
          </cell>
        </row>
        <row r="52">
          <cell r="I52">
            <v>4749.5</v>
          </cell>
        </row>
        <row r="53">
          <cell r="I53">
            <v>477000</v>
          </cell>
        </row>
        <row r="56">
          <cell r="I56">
            <v>600000</v>
          </cell>
        </row>
        <row r="57">
          <cell r="I57">
            <v>1000000</v>
          </cell>
        </row>
        <row r="58">
          <cell r="I58">
            <v>350000</v>
          </cell>
        </row>
        <row r="59">
          <cell r="I59">
            <v>350000</v>
          </cell>
        </row>
        <row r="60">
          <cell r="I60">
            <v>1150000</v>
          </cell>
        </row>
        <row r="61">
          <cell r="I61">
            <v>3000000</v>
          </cell>
        </row>
        <row r="63">
          <cell r="I63">
            <v>500000</v>
          </cell>
        </row>
        <row r="65">
          <cell r="I65">
            <v>50000</v>
          </cell>
        </row>
        <row r="66">
          <cell r="I66">
            <v>750000</v>
          </cell>
        </row>
        <row r="67">
          <cell r="I67">
            <v>147992001</v>
          </cell>
        </row>
        <row r="68">
          <cell r="I68">
            <v>204004</v>
          </cell>
        </row>
        <row r="69">
          <cell r="I69">
            <v>100000</v>
          </cell>
        </row>
        <row r="70">
          <cell r="I70">
            <v>192000</v>
          </cell>
        </row>
        <row r="72">
          <cell r="I72">
            <v>100000</v>
          </cell>
        </row>
        <row r="73">
          <cell r="I73">
            <v>85000</v>
          </cell>
        </row>
        <row r="74">
          <cell r="I74">
            <v>300000</v>
          </cell>
        </row>
        <row r="75">
          <cell r="I75">
            <v>300000</v>
          </cell>
        </row>
        <row r="76">
          <cell r="I76">
            <v>200000</v>
          </cell>
        </row>
        <row r="77">
          <cell r="I77">
            <v>300000</v>
          </cell>
        </row>
        <row r="79">
          <cell r="I79">
            <v>1559793</v>
          </cell>
        </row>
        <row r="80">
          <cell r="I80">
            <v>9558879</v>
          </cell>
        </row>
        <row r="81">
          <cell r="I81">
            <v>34200000</v>
          </cell>
        </row>
        <row r="82">
          <cell r="I82">
            <v>416000</v>
          </cell>
        </row>
        <row r="85">
          <cell r="I85">
            <v>1600000</v>
          </cell>
        </row>
        <row r="90">
          <cell r="I90">
            <v>18000000</v>
          </cell>
        </row>
        <row r="103">
          <cell r="I103">
            <v>300000</v>
          </cell>
        </row>
        <row r="107">
          <cell r="I107">
            <v>200000</v>
          </cell>
        </row>
        <row r="111">
          <cell r="I111">
            <v>605000</v>
          </cell>
        </row>
        <row r="121">
          <cell r="I121">
            <v>1600000</v>
          </cell>
        </row>
        <row r="133">
          <cell r="I133">
            <v>800000</v>
          </cell>
        </row>
        <row r="140">
          <cell r="I140">
            <v>1589600</v>
          </cell>
        </row>
        <row r="150">
          <cell r="I150">
            <v>1280000</v>
          </cell>
        </row>
        <row r="162">
          <cell r="I162">
            <v>551000</v>
          </cell>
        </row>
        <row r="167">
          <cell r="I167">
            <v>2500000</v>
          </cell>
        </row>
        <row r="174">
          <cell r="I174">
            <v>500000</v>
          </cell>
        </row>
        <row r="271">
          <cell r="I271">
            <v>2258120</v>
          </cell>
        </row>
        <row r="283">
          <cell r="I283">
            <v>3525800</v>
          </cell>
        </row>
        <row r="306">
          <cell r="I306">
            <v>54710425.920000002</v>
          </cell>
        </row>
        <row r="321">
          <cell r="I321">
            <v>23041402.75</v>
          </cell>
        </row>
        <row r="363">
          <cell r="I363">
            <v>31687851.859999999</v>
          </cell>
        </row>
        <row r="378">
          <cell r="I378">
            <v>20966450.41</v>
          </cell>
        </row>
        <row r="379">
          <cell r="I379">
            <v>1062000</v>
          </cell>
        </row>
        <row r="380">
          <cell r="I380">
            <v>209000</v>
          </cell>
        </row>
        <row r="381">
          <cell r="I381">
            <v>252760</v>
          </cell>
        </row>
        <row r="382">
          <cell r="I382">
            <v>157690</v>
          </cell>
        </row>
        <row r="383">
          <cell r="I383">
            <v>5750000</v>
          </cell>
        </row>
        <row r="384">
          <cell r="I384">
            <v>1023480.41</v>
          </cell>
        </row>
        <row r="385">
          <cell r="I385">
            <v>6500</v>
          </cell>
        </row>
        <row r="386">
          <cell r="I386">
            <v>254000</v>
          </cell>
        </row>
        <row r="387">
          <cell r="I387">
            <v>1370000</v>
          </cell>
        </row>
        <row r="388">
          <cell r="I388">
            <v>100000</v>
          </cell>
        </row>
        <row r="389">
          <cell r="I389">
            <v>800000</v>
          </cell>
        </row>
        <row r="390">
          <cell r="I390">
            <v>837000</v>
          </cell>
        </row>
        <row r="391">
          <cell r="I391">
            <v>25200</v>
          </cell>
        </row>
        <row r="392">
          <cell r="I392">
            <v>25000</v>
          </cell>
        </row>
        <row r="468">
          <cell r="I468">
            <v>7692014.2800000003</v>
          </cell>
        </row>
        <row r="481">
          <cell r="I481">
            <v>5142780</v>
          </cell>
        </row>
        <row r="482">
          <cell r="I482">
            <v>21600</v>
          </cell>
        </row>
        <row r="483">
          <cell r="I483">
            <v>54000</v>
          </cell>
        </row>
        <row r="484">
          <cell r="I484">
            <v>45000</v>
          </cell>
        </row>
        <row r="485">
          <cell r="I485">
            <v>5000</v>
          </cell>
        </row>
        <row r="486">
          <cell r="I486">
            <v>70000</v>
          </cell>
        </row>
        <row r="487">
          <cell r="I487">
            <v>34000</v>
          </cell>
        </row>
        <row r="490">
          <cell r="I490">
            <v>1593930</v>
          </cell>
        </row>
        <row r="493">
          <cell r="I493">
            <v>708970</v>
          </cell>
        </row>
        <row r="494">
          <cell r="I494">
            <v>400000</v>
          </cell>
        </row>
        <row r="495">
          <cell r="I495">
            <v>148680</v>
          </cell>
        </row>
        <row r="500">
          <cell r="I500">
            <v>1097750</v>
          </cell>
        </row>
        <row r="510">
          <cell r="I510">
            <v>221500</v>
          </cell>
        </row>
        <row r="517">
          <cell r="I517">
            <v>2000000</v>
          </cell>
        </row>
        <row r="533">
          <cell r="I533">
            <v>8537516.3000000007</v>
          </cell>
        </row>
        <row r="546">
          <cell r="I546">
            <v>4275994</v>
          </cell>
        </row>
        <row r="582">
          <cell r="I582">
            <v>7702109.5799999991</v>
          </cell>
        </row>
        <row r="596">
          <cell r="I596">
            <v>35428560</v>
          </cell>
        </row>
        <row r="633">
          <cell r="I633">
            <v>5849042.6600000001</v>
          </cell>
        </row>
        <row r="649">
          <cell r="I649">
            <v>479000</v>
          </cell>
        </row>
        <row r="669">
          <cell r="I669">
            <v>7443955.1399999997</v>
          </cell>
        </row>
        <row r="685">
          <cell r="I685">
            <v>591550</v>
          </cell>
        </row>
        <row r="706">
          <cell r="I706">
            <v>11184417.84</v>
          </cell>
        </row>
        <row r="721">
          <cell r="I721">
            <v>2155898</v>
          </cell>
        </row>
        <row r="750">
          <cell r="I750">
            <v>10560013.68</v>
          </cell>
        </row>
        <row r="764">
          <cell r="I764">
            <v>1380500</v>
          </cell>
        </row>
        <row r="804">
          <cell r="I804">
            <v>1255624.51</v>
          </cell>
        </row>
        <row r="818">
          <cell r="I818">
            <v>103400</v>
          </cell>
        </row>
        <row r="940">
          <cell r="I940">
            <v>20335971.099999998</v>
          </cell>
        </row>
        <row r="957">
          <cell r="I957">
            <v>30514360</v>
          </cell>
        </row>
        <row r="967">
          <cell r="I967">
            <v>816000</v>
          </cell>
        </row>
        <row r="988">
          <cell r="I988">
            <v>1475840</v>
          </cell>
        </row>
        <row r="1000">
          <cell r="I1000">
            <v>1059992</v>
          </cell>
        </row>
        <row r="1015">
          <cell r="I1015">
            <v>4968000</v>
          </cell>
        </row>
        <row r="1023">
          <cell r="I1023">
            <v>498200</v>
          </cell>
        </row>
        <row r="1034">
          <cell r="I1034">
            <v>13180168</v>
          </cell>
        </row>
        <row r="1046">
          <cell r="I1046">
            <v>443600</v>
          </cell>
        </row>
        <row r="1057">
          <cell r="I1057">
            <v>1564800</v>
          </cell>
        </row>
        <row r="1085">
          <cell r="I1085">
            <v>2938702</v>
          </cell>
        </row>
        <row r="1100">
          <cell r="I1100">
            <v>14653600</v>
          </cell>
        </row>
        <row r="1291">
          <cell r="I1291">
            <v>7891817.0199999996</v>
          </cell>
        </row>
        <row r="1306">
          <cell r="I1306">
            <v>45517428.539999999</v>
          </cell>
        </row>
        <row r="1466">
          <cell r="I1466">
            <v>13097530.620000001</v>
          </cell>
        </row>
        <row r="1480">
          <cell r="I1480">
            <v>12465327.719999999</v>
          </cell>
        </row>
        <row r="1481">
          <cell r="I1481">
            <v>15000</v>
          </cell>
        </row>
        <row r="1482">
          <cell r="I1482">
            <v>685000</v>
          </cell>
        </row>
        <row r="1483">
          <cell r="I1483">
            <v>3000</v>
          </cell>
        </row>
        <row r="1484">
          <cell r="I1484">
            <v>84000</v>
          </cell>
        </row>
        <row r="1485">
          <cell r="I1485">
            <v>7485.72</v>
          </cell>
        </row>
        <row r="1486">
          <cell r="I1486">
            <v>123500</v>
          </cell>
        </row>
        <row r="1487">
          <cell r="I1487">
            <v>7500</v>
          </cell>
        </row>
        <row r="1488">
          <cell r="I1488">
            <v>16000</v>
          </cell>
        </row>
        <row r="1489">
          <cell r="I1489">
            <v>82000</v>
          </cell>
        </row>
        <row r="1490">
          <cell r="I1490">
            <v>5000</v>
          </cell>
        </row>
        <row r="1493">
          <cell r="I1493">
            <v>614800</v>
          </cell>
        </row>
        <row r="1503">
          <cell r="I1503">
            <v>833642</v>
          </cell>
        </row>
        <row r="1518">
          <cell r="I1518">
            <v>600000</v>
          </cell>
        </row>
        <row r="1548">
          <cell r="I1548">
            <v>4317426.84</v>
          </cell>
        </row>
        <row r="1561">
          <cell r="I1561">
            <v>7160000</v>
          </cell>
        </row>
        <row r="1562">
          <cell r="I1562">
            <v>50000</v>
          </cell>
        </row>
        <row r="1563">
          <cell r="I1563">
            <v>10000</v>
          </cell>
        </row>
        <row r="1564">
          <cell r="I1564">
            <v>200000</v>
          </cell>
        </row>
        <row r="1565">
          <cell r="I1565">
            <v>430000</v>
          </cell>
        </row>
        <row r="1566">
          <cell r="I1566">
            <v>42000</v>
          </cell>
        </row>
        <row r="1567">
          <cell r="I1567">
            <v>35000</v>
          </cell>
        </row>
        <row r="1568">
          <cell r="I1568">
            <v>7600</v>
          </cell>
        </row>
        <row r="1569">
          <cell r="I1569">
            <v>31000</v>
          </cell>
        </row>
        <row r="1570">
          <cell r="I1570">
            <v>5000</v>
          </cell>
        </row>
        <row r="1624">
          <cell r="I1624">
            <v>7267083.4800000004</v>
          </cell>
        </row>
        <row r="1637">
          <cell r="I1637">
            <v>1298600</v>
          </cell>
        </row>
        <row r="1638">
          <cell r="I1638">
            <v>55000</v>
          </cell>
        </row>
        <row r="1639">
          <cell r="I1639">
            <v>12000</v>
          </cell>
        </row>
        <row r="1640">
          <cell r="I1640">
            <v>3000</v>
          </cell>
        </row>
        <row r="1641">
          <cell r="I1641">
            <v>600</v>
          </cell>
        </row>
        <row r="1642">
          <cell r="I1642">
            <v>42000</v>
          </cell>
        </row>
        <row r="1643">
          <cell r="I1643">
            <v>10000</v>
          </cell>
        </row>
        <row r="1644">
          <cell r="I1644">
            <v>60000</v>
          </cell>
        </row>
        <row r="1645">
          <cell r="I1645">
            <v>50000</v>
          </cell>
        </row>
        <row r="1646">
          <cell r="I1646">
            <v>6000</v>
          </cell>
        </row>
        <row r="1649">
          <cell r="I1649">
            <v>710000</v>
          </cell>
        </row>
        <row r="1668">
          <cell r="I1668">
            <v>44091181.720000006</v>
          </cell>
        </row>
        <row r="1683">
          <cell r="I1683">
            <v>9729911</v>
          </cell>
        </row>
        <row r="1709">
          <cell r="I1709">
            <v>25081280</v>
          </cell>
        </row>
        <row r="1722">
          <cell r="I1722">
            <v>43183113.409999996</v>
          </cell>
        </row>
        <row r="1734">
          <cell r="I1734">
            <v>2209202</v>
          </cell>
        </row>
        <row r="1736">
          <cell r="I1736">
            <v>3224160</v>
          </cell>
        </row>
        <row r="1966">
          <cell r="I1966">
            <v>37454801.439999998</v>
          </cell>
          <cell r="K1966">
            <v>37454801.439999998</v>
          </cell>
        </row>
        <row r="1967">
          <cell r="I1967">
            <v>27027654.379999999</v>
          </cell>
          <cell r="K1967">
            <v>27027654.379999999</v>
          </cell>
        </row>
        <row r="1968">
          <cell r="I1968">
            <v>45784139.810000002</v>
          </cell>
          <cell r="O1968">
            <v>6582572.5399999991</v>
          </cell>
        </row>
      </sheetData>
      <sheetData sheetId="1"/>
      <sheetData sheetId="2">
        <row r="73">
          <cell r="G73">
            <v>45784139.810000002</v>
          </cell>
          <cell r="I73">
            <v>39201567.270000003</v>
          </cell>
        </row>
        <row r="75">
          <cell r="M75">
            <v>39668183.32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27"/>
  <sheetViews>
    <sheetView tabSelected="1" topLeftCell="A776" zoomScale="110" zoomScaleNormal="110" workbookViewId="0">
      <pane xSplit="5" topLeftCell="F1" activePane="topRight" state="frozen"/>
      <selection activeCell="A766" sqref="A766"/>
      <selection pane="topRight" activeCell="S793" sqref="S793"/>
    </sheetView>
  </sheetViews>
  <sheetFormatPr defaultRowHeight="12.75" x14ac:dyDescent="0.25"/>
  <cols>
    <col min="1" max="1" width="1.1640625" style="3" customWidth="1"/>
    <col min="2" max="3" width="1.33203125" style="3" customWidth="1"/>
    <col min="4" max="4" width="2.1640625" style="3" customWidth="1"/>
    <col min="5" max="5" width="53.1640625" style="3" customWidth="1"/>
    <col min="6" max="6" width="9" style="7" customWidth="1"/>
    <col min="7" max="7" width="1.5" style="3" customWidth="1"/>
    <col min="8" max="8" width="16.33203125" style="8" bestFit="1" customWidth="1"/>
    <col min="9" max="9" width="1.5" style="8" customWidth="1"/>
    <col min="10" max="10" width="14.33203125" style="8" bestFit="1" customWidth="1"/>
    <col min="11" max="11" width="1.6640625" style="8" customWidth="1"/>
    <col min="12" max="12" width="14.33203125" style="8" bestFit="1" customWidth="1"/>
    <col min="13" max="13" width="1.6640625" style="8" customWidth="1"/>
    <col min="14" max="14" width="16.33203125" style="8" bestFit="1" customWidth="1"/>
    <col min="15" max="15" width="1.5" style="8" customWidth="1"/>
    <col min="16" max="16" width="12.6640625" style="8" bestFit="1" customWidth="1"/>
    <col min="17" max="17" width="12" style="3" bestFit="1" customWidth="1"/>
    <col min="18" max="18" width="4.33203125" style="3" customWidth="1"/>
    <col min="19" max="21" width="14.33203125" style="3" bestFit="1" customWidth="1"/>
    <col min="22" max="22" width="12" style="3" bestFit="1" customWidth="1"/>
    <col min="23" max="23" width="12.83203125" style="3" bestFit="1" customWidth="1"/>
    <col min="24" max="16384" width="9.33203125" style="3"/>
  </cols>
  <sheetData>
    <row r="2" spans="1:23" ht="12" customHeight="1" x14ac:dyDescent="0.25">
      <c r="A2" s="106" t="s">
        <v>149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2"/>
      <c r="R2" s="2"/>
      <c r="S2" s="2"/>
      <c r="T2" s="2"/>
      <c r="U2" s="2"/>
      <c r="V2" s="2"/>
      <c r="W2" s="2"/>
    </row>
    <row r="3" spans="1:23" ht="12" customHeight="1" x14ac:dyDescent="0.25">
      <c r="A3" s="105" t="s">
        <v>150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4"/>
      <c r="R3" s="4"/>
      <c r="S3" s="4"/>
    </row>
    <row r="4" spans="1:23" ht="12" customHeight="1" x14ac:dyDescent="0.25">
      <c r="A4" s="107" t="s">
        <v>151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5"/>
      <c r="R4" s="5"/>
      <c r="S4" s="5"/>
      <c r="T4" s="5"/>
      <c r="U4" s="5"/>
      <c r="V4" s="5"/>
      <c r="W4" s="5"/>
    </row>
    <row r="5" spans="1:23" ht="12" customHeight="1" x14ac:dyDescent="0.25">
      <c r="A5" s="105" t="s">
        <v>152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4"/>
      <c r="R5" s="4"/>
      <c r="S5" s="4"/>
    </row>
    <row r="6" spans="1:23" ht="12" customHeight="1" x14ac:dyDescent="0.25">
      <c r="A6" s="105" t="s">
        <v>826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4"/>
      <c r="R6" s="4"/>
      <c r="S6" s="4"/>
    </row>
    <row r="7" spans="1:23" x14ac:dyDescent="0.25">
      <c r="A7" s="105" t="s">
        <v>157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4"/>
      <c r="R7" s="4"/>
      <c r="S7" s="4"/>
    </row>
    <row r="9" spans="1:23" x14ac:dyDescent="0.25">
      <c r="B9" s="6" t="s">
        <v>1</v>
      </c>
      <c r="C9" s="6"/>
      <c r="D9" s="6"/>
      <c r="E9" s="6"/>
      <c r="N9" s="9" t="s">
        <v>6</v>
      </c>
      <c r="P9" s="9" t="s">
        <v>6</v>
      </c>
    </row>
    <row r="10" spans="1:23" x14ac:dyDescent="0.25">
      <c r="F10" s="10" t="s">
        <v>2</v>
      </c>
      <c r="G10" s="11"/>
      <c r="H10" s="12" t="s">
        <v>3</v>
      </c>
      <c r="I10" s="13"/>
      <c r="J10" s="12" t="s">
        <v>4</v>
      </c>
      <c r="K10" s="13"/>
      <c r="L10" s="12" t="s">
        <v>5</v>
      </c>
      <c r="M10" s="13"/>
      <c r="N10" s="14" t="s">
        <v>3</v>
      </c>
      <c r="O10" s="13"/>
      <c r="P10" s="12" t="s">
        <v>4</v>
      </c>
    </row>
    <row r="11" spans="1:23" x14ac:dyDescent="0.25">
      <c r="F11" s="10"/>
      <c r="G11" s="11"/>
      <c r="H11" s="15"/>
      <c r="J11" s="15"/>
      <c r="L11" s="15"/>
      <c r="N11" s="15"/>
      <c r="P11" s="15"/>
      <c r="S11" s="3" t="s">
        <v>757</v>
      </c>
    </row>
    <row r="12" spans="1:23" x14ac:dyDescent="0.25">
      <c r="B12" s="11" t="s">
        <v>153</v>
      </c>
      <c r="H12" s="17">
        <f>+H14+H1807</f>
        <v>1960549686.46</v>
      </c>
      <c r="I12" s="13"/>
      <c r="J12" s="17">
        <f>+J14+J1807</f>
        <v>1919451589.73</v>
      </c>
      <c r="K12" s="13"/>
      <c r="L12" s="17">
        <f>+L14+L1807</f>
        <v>1787496374.23</v>
      </c>
      <c r="M12" s="13"/>
      <c r="N12" s="17">
        <f>+N14+N1807</f>
        <v>41098096.730000004</v>
      </c>
      <c r="O12" s="13"/>
      <c r="P12" s="17">
        <f>+P14+P1807</f>
        <v>131955215.50000001</v>
      </c>
      <c r="S12" s="3" t="s">
        <v>827</v>
      </c>
    </row>
    <row r="13" spans="1:23" x14ac:dyDescent="0.25">
      <c r="S13" s="93">
        <f>+[1]DEC2018!$H$12+[2]DEC2018!$H$12+[3]DEC2018!$H$12</f>
        <v>1960549686.46</v>
      </c>
      <c r="T13" s="93">
        <f>+[1]DEC2018!$J$12+[2]DEC2018!$J$12+[3]DEC2018!$J$12</f>
        <v>1919451589.73</v>
      </c>
      <c r="U13" s="93">
        <f>+[1]DEC2018!$L$12+[2]DEC2018!$L$12+[3]DEC2018!$L$12</f>
        <v>1787496374.2299998</v>
      </c>
      <c r="V13" s="93">
        <f>+[1]DEC2018!$N$12+[2]DEC2018!$N$12+[3]DEC2018!$N$12</f>
        <v>41098096.730000004</v>
      </c>
      <c r="W13" s="93">
        <f>+[1]DEC2018!$P$12+[2]DEC2018!$P$12+[3]DEC2018!$P$12</f>
        <v>131955215.50000001</v>
      </c>
    </row>
    <row r="14" spans="1:23" x14ac:dyDescent="0.25">
      <c r="B14" s="2" t="s">
        <v>154</v>
      </c>
      <c r="H14" s="17">
        <f>SUM(H15:H18)</f>
        <v>1910933096.23</v>
      </c>
      <c r="I14" s="17"/>
      <c r="J14" s="17">
        <f>SUM(J15:J18)</f>
        <v>1902761589.73</v>
      </c>
      <c r="K14" s="17"/>
      <c r="L14" s="17">
        <f>SUM(L15:L18)</f>
        <v>1787306819.23</v>
      </c>
      <c r="M14" s="17"/>
      <c r="N14" s="17">
        <f>SUM(N15:N18)</f>
        <v>8171506.5000000009</v>
      </c>
      <c r="O14" s="17"/>
      <c r="P14" s="17">
        <f>SUM(P15:P18)</f>
        <v>115454770.50000001</v>
      </c>
      <c r="R14" s="102"/>
      <c r="S14" s="93">
        <f>+H12</f>
        <v>1960549686.46</v>
      </c>
      <c r="T14" s="93">
        <f>+J12</f>
        <v>1919451589.73</v>
      </c>
      <c r="U14" s="93">
        <f>+L12</f>
        <v>1787496374.23</v>
      </c>
      <c r="V14" s="93">
        <f>+N12</f>
        <v>41098096.730000004</v>
      </c>
      <c r="W14" s="93">
        <f>+P12</f>
        <v>131955215.50000001</v>
      </c>
    </row>
    <row r="15" spans="1:23" x14ac:dyDescent="0.25">
      <c r="C15" s="3" t="s">
        <v>7</v>
      </c>
      <c r="H15" s="8">
        <f>+H21+H844+H1162+H1325+H1609</f>
        <v>525312874.11000001</v>
      </c>
      <c r="J15" s="8">
        <f>+J21+J844+J1162+J1325+J1609</f>
        <v>525312874.11000001</v>
      </c>
      <c r="L15" s="8">
        <f>+L21+L844+L1162+L1325+L1609</f>
        <v>513017609.69999999</v>
      </c>
      <c r="N15" s="8">
        <f>+N21+N844+N1162+N1325+N1609</f>
        <v>0</v>
      </c>
      <c r="P15" s="8">
        <f>+P21+P844+P1162+P1325+P1609</f>
        <v>12295264.410000002</v>
      </c>
      <c r="S15" s="93">
        <f>+S14-S13</f>
        <v>0</v>
      </c>
      <c r="T15" s="93">
        <f>+T14-T13</f>
        <v>0</v>
      </c>
      <c r="U15" s="93">
        <f>+U14-U13</f>
        <v>0</v>
      </c>
      <c r="V15" s="93">
        <f>+V14-V13</f>
        <v>0</v>
      </c>
      <c r="W15" s="93">
        <f>+W14-W13</f>
        <v>0</v>
      </c>
    </row>
    <row r="16" spans="1:23" x14ac:dyDescent="0.25">
      <c r="C16" s="3" t="s">
        <v>17</v>
      </c>
      <c r="H16" s="8">
        <f>+H22+H845+H1163+H1326+H1610</f>
        <v>1090822355.76</v>
      </c>
      <c r="J16" s="8">
        <f>+J22+J845+J1163+J1326+J1610</f>
        <v>1090259320.03</v>
      </c>
      <c r="L16" s="8">
        <f>+L22+L845+L1163+L1326+L1610</f>
        <v>1055819348.6399999</v>
      </c>
      <c r="N16" s="8">
        <f>+N22+N845+N1163+N1326+N1610</f>
        <v>563035.73000000161</v>
      </c>
      <c r="P16" s="8">
        <f>+P22+P845+P1163+P1326+P1610</f>
        <v>34439971.389999993</v>
      </c>
    </row>
    <row r="17" spans="2:16" x14ac:dyDescent="0.25">
      <c r="C17" s="3" t="s">
        <v>155</v>
      </c>
      <c r="H17" s="8">
        <f>+H23+H1611</f>
        <v>123531635.44</v>
      </c>
      <c r="J17" s="8">
        <f>+J23+J1611</f>
        <v>123531635.44</v>
      </c>
      <c r="L17" s="8">
        <f>+L23+L1611</f>
        <v>87929139.209999993</v>
      </c>
      <c r="N17" s="8">
        <f>+N23+N1611</f>
        <v>0</v>
      </c>
      <c r="P17" s="8">
        <f>+P23+P1611</f>
        <v>35602496.230000004</v>
      </c>
    </row>
    <row r="18" spans="2:16" x14ac:dyDescent="0.25">
      <c r="C18" s="3" t="s">
        <v>52</v>
      </c>
      <c r="H18" s="8">
        <f>+H24+H846+H1327+H1612</f>
        <v>171266230.92000002</v>
      </c>
      <c r="J18" s="8">
        <f>+J24+J846+J1327+J1612</f>
        <v>163657760.15000001</v>
      </c>
      <c r="L18" s="8">
        <f>+L24+L846+L1327+L1612</f>
        <v>130540721.67999999</v>
      </c>
      <c r="N18" s="8">
        <f>+N24+N846+N1327+N1612</f>
        <v>7608470.7699999996</v>
      </c>
      <c r="P18" s="8">
        <f>+P24+P846+P1327+P1612</f>
        <v>33117038.47000001</v>
      </c>
    </row>
    <row r="20" spans="2:16" x14ac:dyDescent="0.25">
      <c r="B20" s="2" t="s">
        <v>156</v>
      </c>
      <c r="H20" s="17">
        <f>SUM(H21:H24)</f>
        <v>950924058.39999998</v>
      </c>
      <c r="I20" s="64"/>
      <c r="J20" s="17">
        <f>SUM(J21:J24)</f>
        <v>942808251.63</v>
      </c>
      <c r="K20" s="64"/>
      <c r="L20" s="17">
        <f>SUM(L21:L24)</f>
        <v>898918107.98000002</v>
      </c>
      <c r="M20" s="64"/>
      <c r="N20" s="17">
        <f>SUM(N21:N24)</f>
        <v>8115806.7699999996</v>
      </c>
      <c r="O20" s="64"/>
      <c r="P20" s="17">
        <f>SUM(P21:P24)</f>
        <v>43890143.649999991</v>
      </c>
    </row>
    <row r="21" spans="2:16" x14ac:dyDescent="0.25">
      <c r="C21" s="3" t="s">
        <v>7</v>
      </c>
      <c r="H21" s="8">
        <f>+H27+H243+H278+H327+H410+H466+H509+H557+H591+H622+H662+H715</f>
        <v>244178146.20999998</v>
      </c>
      <c r="J21" s="8">
        <f>+J27+J243+J278+J327+J410+J466+J509+J557+J591+J622+J662+J715</f>
        <v>244178146.20999998</v>
      </c>
      <c r="L21" s="8">
        <f>+L27+L243+L278+L327+L410+L466+L509+L557+L591+L622+L662+L715</f>
        <v>242372352.93000004</v>
      </c>
      <c r="N21" s="8">
        <f>+N27+N243+N278+N327+N410+N466+N509+N557+N591+N622+N662+N715</f>
        <v>0</v>
      </c>
      <c r="P21" s="8">
        <f>+P27+P243+P278+P327+P410+P466+P509+P557+P591+P622+P662+P715</f>
        <v>1805793.28</v>
      </c>
    </row>
    <row r="22" spans="2:16" x14ac:dyDescent="0.25">
      <c r="C22" s="3" t="s">
        <v>17</v>
      </c>
      <c r="H22" s="8">
        <f>+H42-H74-H75+H255+H293+H342+H423+H479+H523+H573+H606+H637+H676+H710+H729+H739+H751+H761+H773</f>
        <v>624600142.10000002</v>
      </c>
      <c r="J22" s="8">
        <f>+J42-J74-J75+J255+J293+J342+J423+J479+J523+J573+J606+J637+J676+J710+J729+J739+J751+J761+J773</f>
        <v>624064592.10000002</v>
      </c>
      <c r="L22" s="8">
        <f>+L42-L74-L75+L255+L293+L342+L423+L479+L523+L573+L606+L637+L676+L710+L729+L739+L751+L761+L773</f>
        <v>600932891.57999992</v>
      </c>
      <c r="N22" s="8">
        <f>+N42-N74-N75+N255+N293+N342+N423+N479+N523+N573+N606+N637+N676+N710+N729+N739+N751+N761+N773</f>
        <v>535550</v>
      </c>
      <c r="P22" s="8">
        <f>+P42-P74-P75+P255+P293+P342+P423+P479+P523+P573+P606+P637+P676+P710+P729+P739+P751+P761+P773</f>
        <v>23131700.519999988</v>
      </c>
    </row>
    <row r="23" spans="2:16" x14ac:dyDescent="0.25">
      <c r="C23" s="3" t="s">
        <v>155</v>
      </c>
      <c r="H23" s="8">
        <f>+H74+H75</f>
        <v>11062052.439999999</v>
      </c>
      <c r="J23" s="8">
        <f>+J74+J75</f>
        <v>11062052.439999999</v>
      </c>
      <c r="L23" s="8">
        <f>+L74+L75</f>
        <v>11062052.16</v>
      </c>
      <c r="N23" s="8">
        <f>+N74+N75</f>
        <v>0</v>
      </c>
      <c r="P23" s="8">
        <f>+P74+P75</f>
        <v>0.28000000000000003</v>
      </c>
    </row>
    <row r="24" spans="2:16" x14ac:dyDescent="0.25">
      <c r="C24" s="3" t="s">
        <v>52</v>
      </c>
      <c r="H24" s="8">
        <f>+H206+H319+H402+H460+H617+H811</f>
        <v>71083717.650000006</v>
      </c>
      <c r="J24" s="8">
        <f>+J206+J319+J402+J460+J617+J811</f>
        <v>63503460.879999995</v>
      </c>
      <c r="L24" s="8">
        <f>+L206+L319+L402+L460+L617+L811</f>
        <v>44550811.310000002</v>
      </c>
      <c r="N24" s="8">
        <f>+N206+N319+N402+N460+N617+N811</f>
        <v>7580256.7699999996</v>
      </c>
      <c r="P24" s="8">
        <f>+P206+P319+P402+P460+P617+P811</f>
        <v>18952649.57</v>
      </c>
    </row>
    <row r="26" spans="2:16" x14ac:dyDescent="0.25">
      <c r="B26" s="11" t="s">
        <v>158</v>
      </c>
      <c r="C26" s="11"/>
      <c r="D26" s="11"/>
      <c r="E26" s="11"/>
      <c r="F26" s="7" t="s">
        <v>159</v>
      </c>
    </row>
    <row r="27" spans="2:16" ht="12.75" customHeight="1" x14ac:dyDescent="0.25">
      <c r="B27" s="11" t="s">
        <v>160</v>
      </c>
      <c r="C27" s="11"/>
      <c r="D27" s="11"/>
      <c r="E27" s="11"/>
      <c r="F27" s="18" t="s">
        <v>161</v>
      </c>
      <c r="H27" s="17">
        <f>SUM(H28:H41)</f>
        <v>102359693.78</v>
      </c>
      <c r="J27" s="17">
        <f>SUM(J28:J41)</f>
        <v>102359693.78</v>
      </c>
      <c r="L27" s="17">
        <f>SUM(L28:L41)</f>
        <v>102153145</v>
      </c>
      <c r="N27" s="17">
        <f>SUM(N28:N41)</f>
        <v>0</v>
      </c>
      <c r="P27" s="17">
        <f>SUM(P28:P41)</f>
        <v>206548.78000000003</v>
      </c>
    </row>
    <row r="28" spans="2:16" x14ac:dyDescent="0.25">
      <c r="D28" s="3" t="s">
        <v>8</v>
      </c>
      <c r="F28" s="7">
        <v>50101010</v>
      </c>
      <c r="H28" s="8">
        <v>3515038</v>
      </c>
      <c r="J28" s="8">
        <v>3515038</v>
      </c>
      <c r="L28" s="8">
        <v>3515038</v>
      </c>
      <c r="N28" s="8">
        <v>0</v>
      </c>
      <c r="P28" s="8">
        <v>0</v>
      </c>
    </row>
    <row r="29" spans="2:16" x14ac:dyDescent="0.25">
      <c r="D29" s="3" t="s">
        <v>9</v>
      </c>
      <c r="F29" s="7">
        <v>50101020</v>
      </c>
      <c r="H29" s="8">
        <v>86077319.489999995</v>
      </c>
      <c r="J29" s="8">
        <v>86077319.489999995</v>
      </c>
      <c r="L29" s="8">
        <v>85903821.450000003</v>
      </c>
      <c r="N29" s="8">
        <v>0</v>
      </c>
      <c r="P29" s="8">
        <v>173498.04</v>
      </c>
    </row>
    <row r="30" spans="2:16" x14ac:dyDescent="0.25">
      <c r="D30" s="3" t="s">
        <v>162</v>
      </c>
      <c r="F30" s="7">
        <v>50102010</v>
      </c>
      <c r="H30" s="8">
        <v>164000</v>
      </c>
      <c r="J30" s="8">
        <v>164000</v>
      </c>
      <c r="L30" s="8">
        <v>164000</v>
      </c>
      <c r="N30" s="8">
        <v>0</v>
      </c>
      <c r="P30" s="8">
        <v>0</v>
      </c>
    </row>
    <row r="31" spans="2:16" x14ac:dyDescent="0.25">
      <c r="D31" s="3" t="s">
        <v>776</v>
      </c>
      <c r="F31" s="7">
        <v>50102020</v>
      </c>
      <c r="H31" s="8">
        <v>132000</v>
      </c>
      <c r="J31" s="8">
        <v>132000</v>
      </c>
      <c r="L31" s="8">
        <v>132000</v>
      </c>
      <c r="N31" s="8">
        <v>0</v>
      </c>
      <c r="P31" s="8">
        <v>0</v>
      </c>
    </row>
    <row r="32" spans="2:16" x14ac:dyDescent="0.25">
      <c r="D32" s="3" t="s">
        <v>11</v>
      </c>
      <c r="F32" s="7">
        <v>50102040</v>
      </c>
      <c r="H32" s="8">
        <v>42000</v>
      </c>
      <c r="J32" s="8">
        <v>42000</v>
      </c>
      <c r="L32" s="8">
        <v>42000</v>
      </c>
      <c r="N32" s="8">
        <v>0</v>
      </c>
      <c r="P32" s="8">
        <v>0</v>
      </c>
    </row>
    <row r="33" spans="2:16" x14ac:dyDescent="0.25">
      <c r="D33" s="3" t="s">
        <v>726</v>
      </c>
      <c r="F33" s="7">
        <v>50102130</v>
      </c>
      <c r="H33" s="8">
        <v>695300</v>
      </c>
      <c r="J33" s="8">
        <v>695300</v>
      </c>
      <c r="L33" s="8">
        <v>695144.22</v>
      </c>
      <c r="N33" s="8">
        <v>0</v>
      </c>
      <c r="P33" s="8">
        <v>155.78</v>
      </c>
    </row>
    <row r="34" spans="2:16" x14ac:dyDescent="0.25">
      <c r="D34" s="3" t="s">
        <v>163</v>
      </c>
      <c r="F34" s="7">
        <v>50102130</v>
      </c>
      <c r="H34" s="8">
        <v>65000</v>
      </c>
      <c r="J34" s="8">
        <v>65000</v>
      </c>
      <c r="L34" s="8">
        <v>38579.019999999997</v>
      </c>
      <c r="N34" s="8">
        <v>0</v>
      </c>
      <c r="P34" s="8">
        <v>26420.98</v>
      </c>
    </row>
    <row r="35" spans="2:16" x14ac:dyDescent="0.25">
      <c r="D35" s="3" t="s">
        <v>12</v>
      </c>
      <c r="F35" s="7">
        <v>50102140</v>
      </c>
      <c r="H35" s="8">
        <v>645298.15</v>
      </c>
      <c r="J35" s="8">
        <v>645298.15</v>
      </c>
      <c r="L35" s="8">
        <v>645298.15</v>
      </c>
      <c r="N35" s="8">
        <v>0</v>
      </c>
      <c r="P35" s="8">
        <v>0</v>
      </c>
    </row>
    <row r="36" spans="2:16" x14ac:dyDescent="0.25">
      <c r="D36" s="3" t="s">
        <v>13</v>
      </c>
      <c r="F36" s="7">
        <v>50102150</v>
      </c>
      <c r="H36" s="8">
        <v>34750</v>
      </c>
      <c r="J36" s="8">
        <v>34750</v>
      </c>
      <c r="L36" s="8">
        <v>34750</v>
      </c>
      <c r="N36" s="8">
        <v>0</v>
      </c>
      <c r="P36" s="8">
        <v>0</v>
      </c>
    </row>
    <row r="37" spans="2:16" x14ac:dyDescent="0.25">
      <c r="D37" s="3" t="s">
        <v>164</v>
      </c>
      <c r="F37" s="7">
        <v>50103010</v>
      </c>
      <c r="H37" s="8">
        <v>433364.16</v>
      </c>
      <c r="J37" s="8">
        <v>433364.16</v>
      </c>
      <c r="L37" s="8">
        <v>433364.16</v>
      </c>
      <c r="N37" s="8">
        <v>0</v>
      </c>
      <c r="P37" s="8">
        <v>0</v>
      </c>
    </row>
    <row r="38" spans="2:16" x14ac:dyDescent="0.25">
      <c r="D38" s="3" t="s">
        <v>14</v>
      </c>
      <c r="F38" s="7">
        <v>50103020</v>
      </c>
      <c r="H38" s="8">
        <v>8200</v>
      </c>
      <c r="J38" s="8">
        <v>8200</v>
      </c>
      <c r="L38" s="8">
        <v>8200</v>
      </c>
      <c r="N38" s="8">
        <v>0</v>
      </c>
      <c r="P38" s="8">
        <v>0</v>
      </c>
    </row>
    <row r="39" spans="2:16" x14ac:dyDescent="0.25">
      <c r="D39" s="3" t="s">
        <v>15</v>
      </c>
      <c r="F39" s="7">
        <v>50103030</v>
      </c>
      <c r="H39" s="8">
        <v>28500</v>
      </c>
      <c r="J39" s="8">
        <v>28500</v>
      </c>
      <c r="L39" s="8">
        <v>28500</v>
      </c>
      <c r="N39" s="8">
        <v>0</v>
      </c>
      <c r="P39" s="8">
        <v>0</v>
      </c>
    </row>
    <row r="40" spans="2:16" x14ac:dyDescent="0.25">
      <c r="D40" s="3" t="s">
        <v>165</v>
      </c>
      <c r="F40" s="7">
        <v>50103040</v>
      </c>
      <c r="H40" s="8">
        <v>8200</v>
      </c>
      <c r="J40" s="8">
        <v>8200</v>
      </c>
      <c r="L40" s="8">
        <v>8200</v>
      </c>
      <c r="N40" s="8">
        <v>0</v>
      </c>
      <c r="P40" s="8">
        <v>0</v>
      </c>
    </row>
    <row r="41" spans="2:16" x14ac:dyDescent="0.25">
      <c r="D41" s="3" t="s">
        <v>16</v>
      </c>
      <c r="F41" s="7">
        <v>50104990</v>
      </c>
      <c r="H41" s="8">
        <v>10510723.98</v>
      </c>
      <c r="J41" s="8">
        <v>10510723.98</v>
      </c>
      <c r="L41" s="8">
        <v>10504250</v>
      </c>
      <c r="N41" s="8">
        <v>0</v>
      </c>
      <c r="P41" s="8">
        <v>6473.98</v>
      </c>
    </row>
    <row r="42" spans="2:16" x14ac:dyDescent="0.25">
      <c r="B42" s="11" t="s">
        <v>166</v>
      </c>
      <c r="F42" s="7">
        <v>200</v>
      </c>
      <c r="H42" s="17">
        <f>SUM(H43:H77,H79,H83,H93,H97,H101,H111,H119,H126,H133,H145,H149,H159,H157,H197,H198,H201)</f>
        <v>461848857.26999998</v>
      </c>
      <c r="J42" s="17">
        <f>SUM(J43:J77,J79,J83,J93,J97,J101,J111,J119,J126,J133,J145,J149,J159,J157,J197,J198,J201)</f>
        <v>461351607.26999998</v>
      </c>
      <c r="L42" s="17">
        <f>SUM(L43:L77,L79,L83,L93,L97,L101,L111,L119,L126,L133,L145,L149,L159,L157,L197,L198,L201)</f>
        <v>448537296.43999994</v>
      </c>
      <c r="N42" s="17">
        <f>SUM(N43:N77,N79,N83,N93,N97,N101,N111,N119,N126,N133,N145,N149,N159,N157,N197,N198,N201)</f>
        <v>497250</v>
      </c>
      <c r="P42" s="17">
        <f>SUM(P43:P77,P79,P83,P93,P97,P101,P111,P119,P126,P133,P145,P149,P159,P157,P197,P198,P201)</f>
        <v>12814310.829999989</v>
      </c>
    </row>
    <row r="43" spans="2:16" x14ac:dyDescent="0.25">
      <c r="D43" s="3" t="s">
        <v>760</v>
      </c>
      <c r="F43" s="7">
        <v>50201010</v>
      </c>
      <c r="H43" s="8">
        <v>4283498.84</v>
      </c>
      <c r="J43" s="8">
        <v>4283498.84</v>
      </c>
      <c r="L43" s="8">
        <v>4283218.84</v>
      </c>
      <c r="N43" s="8">
        <v>0</v>
      </c>
      <c r="P43" s="8">
        <v>280</v>
      </c>
    </row>
    <row r="44" spans="2:16" x14ac:dyDescent="0.25">
      <c r="D44" s="3" t="s">
        <v>19</v>
      </c>
      <c r="F44" s="7">
        <v>50202010</v>
      </c>
      <c r="H44" s="8">
        <v>1946000</v>
      </c>
      <c r="J44" s="8">
        <v>1946000</v>
      </c>
      <c r="L44" s="8">
        <v>1942709.36</v>
      </c>
      <c r="N44" s="8">
        <v>0</v>
      </c>
      <c r="P44" s="8">
        <v>3290.64</v>
      </c>
    </row>
    <row r="45" spans="2:16" x14ac:dyDescent="0.25">
      <c r="D45" s="3" t="s">
        <v>20</v>
      </c>
      <c r="F45" s="7">
        <v>50203090</v>
      </c>
      <c r="H45" s="8">
        <f>27315240.36+714000</f>
        <v>28029240.359999999</v>
      </c>
      <c r="J45" s="8">
        <f>27315240.36+714000</f>
        <v>28029240.359999999</v>
      </c>
      <c r="L45" s="8">
        <f>27315240.36+711190</f>
        <v>28026430.359999999</v>
      </c>
      <c r="N45" s="8">
        <v>0</v>
      </c>
      <c r="P45" s="8">
        <f>J45-L45</f>
        <v>2810</v>
      </c>
    </row>
    <row r="46" spans="2:16" x14ac:dyDescent="0.25">
      <c r="D46" s="3" t="s">
        <v>21</v>
      </c>
      <c r="F46" s="7">
        <v>50204010</v>
      </c>
      <c r="H46" s="8">
        <v>37750</v>
      </c>
      <c r="J46" s="8">
        <v>37750</v>
      </c>
      <c r="L46" s="8">
        <v>26972</v>
      </c>
      <c r="N46" s="8">
        <v>0</v>
      </c>
      <c r="P46" s="8">
        <v>10778</v>
      </c>
    </row>
    <row r="47" spans="2:16" x14ac:dyDescent="0.25">
      <c r="D47" s="3" t="s">
        <v>22</v>
      </c>
      <c r="F47" s="7">
        <v>50205020</v>
      </c>
      <c r="H47" s="8">
        <v>280473.27</v>
      </c>
      <c r="J47" s="8">
        <v>280473.27</v>
      </c>
      <c r="L47" s="8">
        <v>275446.09999999998</v>
      </c>
      <c r="N47" s="8">
        <v>0</v>
      </c>
      <c r="P47" s="8">
        <v>5027.17</v>
      </c>
    </row>
    <row r="48" spans="2:16" x14ac:dyDescent="0.25">
      <c r="D48" s="3" t="s">
        <v>25</v>
      </c>
      <c r="F48" s="7">
        <v>50211990</v>
      </c>
      <c r="H48" s="8">
        <v>555025.87</v>
      </c>
      <c r="J48" s="8">
        <v>555025.87</v>
      </c>
      <c r="L48" s="8">
        <v>555025.87</v>
      </c>
      <c r="N48" s="8">
        <v>0</v>
      </c>
      <c r="P48" s="8">
        <v>0</v>
      </c>
    </row>
    <row r="49" spans="3:17" x14ac:dyDescent="0.25">
      <c r="D49" s="3" t="s">
        <v>26</v>
      </c>
      <c r="F49" s="7">
        <v>50212990</v>
      </c>
      <c r="H49" s="8">
        <f>76750293.6-2718690.01-5203.22</f>
        <v>74026400.36999999</v>
      </c>
      <c r="J49" s="8">
        <v>74026400.36999999</v>
      </c>
      <c r="L49" s="8">
        <v>73759740.359999999</v>
      </c>
      <c r="N49" s="8">
        <f>+H49-J49</f>
        <v>0</v>
      </c>
      <c r="P49" s="8">
        <f>+J49-L49</f>
        <v>266660.00999999046</v>
      </c>
      <c r="Q49" s="93"/>
    </row>
    <row r="50" spans="3:17" x14ac:dyDescent="0.25">
      <c r="D50" s="3" t="s">
        <v>522</v>
      </c>
      <c r="F50" s="7">
        <v>50212990</v>
      </c>
      <c r="H50" s="8">
        <v>60000</v>
      </c>
      <c r="J50" s="8">
        <v>60000</v>
      </c>
      <c r="L50" s="8">
        <v>33246.29</v>
      </c>
      <c r="N50" s="8">
        <v>0</v>
      </c>
      <c r="P50" s="8">
        <v>26753.71</v>
      </c>
    </row>
    <row r="51" spans="3:17" x14ac:dyDescent="0.25">
      <c r="D51" s="3" t="s">
        <v>727</v>
      </c>
      <c r="F51" s="7">
        <v>50212990</v>
      </c>
      <c r="H51" s="8">
        <v>4749.5</v>
      </c>
      <c r="J51" s="8">
        <v>4749.5</v>
      </c>
      <c r="L51" s="8">
        <v>4749.5</v>
      </c>
      <c r="N51" s="8">
        <v>0</v>
      </c>
      <c r="P51" s="8">
        <v>0</v>
      </c>
    </row>
    <row r="52" spans="3:17" x14ac:dyDescent="0.25">
      <c r="D52" s="3" t="s">
        <v>27</v>
      </c>
      <c r="F52" s="7">
        <v>50213050</v>
      </c>
      <c r="H52" s="8">
        <v>198275</v>
      </c>
      <c r="J52" s="8">
        <v>198275</v>
      </c>
      <c r="L52" s="8">
        <v>198275</v>
      </c>
      <c r="N52" s="8">
        <v>0</v>
      </c>
      <c r="P52" s="8">
        <v>0</v>
      </c>
    </row>
    <row r="53" spans="3:17" x14ac:dyDescent="0.25">
      <c r="C53" s="11" t="s">
        <v>167</v>
      </c>
      <c r="F53" s="7">
        <v>50214030</v>
      </c>
    </row>
    <row r="54" spans="3:17" x14ac:dyDescent="0.25">
      <c r="C54" s="3" t="s">
        <v>168</v>
      </c>
    </row>
    <row r="55" spans="3:17" x14ac:dyDescent="0.25">
      <c r="D55" s="3" t="s">
        <v>28</v>
      </c>
      <c r="H55" s="8">
        <v>600000</v>
      </c>
      <c r="J55" s="8">
        <v>600000</v>
      </c>
      <c r="L55" s="8">
        <v>600000</v>
      </c>
      <c r="N55" s="8">
        <v>0</v>
      </c>
      <c r="P55" s="8">
        <v>0</v>
      </c>
    </row>
    <row r="56" spans="3:17" x14ac:dyDescent="0.25">
      <c r="D56" s="3" t="s">
        <v>169</v>
      </c>
      <c r="H56" s="8">
        <v>950000</v>
      </c>
      <c r="J56" s="8">
        <v>950000</v>
      </c>
      <c r="L56" s="8">
        <v>823800</v>
      </c>
      <c r="N56" s="8">
        <v>0</v>
      </c>
      <c r="P56" s="8">
        <v>126200</v>
      </c>
    </row>
    <row r="57" spans="3:17" x14ac:dyDescent="0.25">
      <c r="D57" s="3" t="s">
        <v>29</v>
      </c>
      <c r="H57" s="8">
        <v>350000</v>
      </c>
      <c r="J57" s="8">
        <v>350000</v>
      </c>
      <c r="L57" s="8">
        <v>350000</v>
      </c>
      <c r="N57" s="8">
        <v>0</v>
      </c>
      <c r="P57" s="8">
        <v>0</v>
      </c>
    </row>
    <row r="58" spans="3:17" x14ac:dyDescent="0.25">
      <c r="D58" s="3" t="s">
        <v>30</v>
      </c>
      <c r="H58" s="8">
        <v>350000</v>
      </c>
      <c r="J58" s="8">
        <v>350000</v>
      </c>
      <c r="L58" s="8">
        <v>350000</v>
      </c>
      <c r="N58" s="8">
        <v>0</v>
      </c>
      <c r="P58" s="8">
        <v>0</v>
      </c>
    </row>
    <row r="59" spans="3:17" x14ac:dyDescent="0.25">
      <c r="D59" s="3" t="s">
        <v>170</v>
      </c>
      <c r="H59" s="8">
        <v>1162300</v>
      </c>
      <c r="J59" s="8">
        <v>1162300</v>
      </c>
      <c r="L59" s="8">
        <v>1162300</v>
      </c>
      <c r="N59" s="8">
        <v>0</v>
      </c>
      <c r="P59" s="8">
        <v>0</v>
      </c>
    </row>
    <row r="60" spans="3:17" x14ac:dyDescent="0.25">
      <c r="D60" s="3" t="s">
        <v>31</v>
      </c>
      <c r="H60" s="8">
        <v>3000000</v>
      </c>
      <c r="J60" s="8">
        <v>3000000</v>
      </c>
      <c r="L60" s="8">
        <v>3000000</v>
      </c>
      <c r="N60" s="8">
        <v>0</v>
      </c>
      <c r="P60" s="8">
        <v>0</v>
      </c>
    </row>
    <row r="61" spans="3:17" x14ac:dyDescent="0.25">
      <c r="D61" s="3" t="s">
        <v>171</v>
      </c>
      <c r="H61" s="8">
        <v>481400</v>
      </c>
      <c r="J61" s="8">
        <f>500000-18600</f>
        <v>481400</v>
      </c>
      <c r="L61" s="8">
        <v>0</v>
      </c>
      <c r="N61" s="8">
        <v>0</v>
      </c>
      <c r="P61" s="8">
        <f>+J61-L61</f>
        <v>481400</v>
      </c>
    </row>
    <row r="62" spans="3:17" x14ac:dyDescent="0.25">
      <c r="C62" s="3" t="s">
        <v>172</v>
      </c>
      <c r="F62" s="7">
        <v>50214060</v>
      </c>
    </row>
    <row r="63" spans="3:17" x14ac:dyDescent="0.25">
      <c r="D63" s="3" t="s">
        <v>173</v>
      </c>
      <c r="H63" s="8">
        <v>750000</v>
      </c>
      <c r="J63" s="8">
        <v>750000</v>
      </c>
      <c r="L63" s="8">
        <v>750000</v>
      </c>
      <c r="N63" s="8">
        <v>0</v>
      </c>
      <c r="P63" s="8">
        <v>0</v>
      </c>
    </row>
    <row r="64" spans="3:17" x14ac:dyDescent="0.25">
      <c r="C64" s="3" t="s">
        <v>781</v>
      </c>
      <c r="F64" s="7">
        <v>50214080</v>
      </c>
      <c r="H64" s="8">
        <v>147992001</v>
      </c>
      <c r="J64" s="8">
        <v>147992001</v>
      </c>
      <c r="L64" s="8">
        <v>147992001</v>
      </c>
      <c r="N64" s="8">
        <v>0</v>
      </c>
      <c r="P64" s="8">
        <v>0</v>
      </c>
    </row>
    <row r="65" spans="3:16" x14ac:dyDescent="0.25">
      <c r="C65" s="3" t="s">
        <v>761</v>
      </c>
      <c r="F65" s="7">
        <v>50216020</v>
      </c>
      <c r="H65" s="8">
        <v>100000</v>
      </c>
      <c r="J65" s="8">
        <v>100000</v>
      </c>
      <c r="L65" s="8">
        <v>99999.75</v>
      </c>
      <c r="N65" s="8">
        <v>0</v>
      </c>
      <c r="P65" s="8">
        <v>0.25</v>
      </c>
    </row>
    <row r="66" spans="3:16" x14ac:dyDescent="0.25">
      <c r="C66" s="3" t="s">
        <v>174</v>
      </c>
      <c r="F66" s="7">
        <v>50299060</v>
      </c>
      <c r="H66" s="8">
        <v>5000</v>
      </c>
      <c r="J66" s="8">
        <v>5000</v>
      </c>
      <c r="L66" s="8">
        <v>5000</v>
      </c>
      <c r="N66" s="8">
        <v>0</v>
      </c>
      <c r="P66" s="8">
        <v>0</v>
      </c>
    </row>
    <row r="67" spans="3:16" x14ac:dyDescent="0.25">
      <c r="C67" s="11" t="s">
        <v>43</v>
      </c>
      <c r="F67" s="7">
        <v>50299080</v>
      </c>
    </row>
    <row r="68" spans="3:16" x14ac:dyDescent="0.25">
      <c r="D68" s="3" t="s">
        <v>32</v>
      </c>
      <c r="H68" s="8">
        <v>100000</v>
      </c>
      <c r="J68" s="8">
        <v>100000</v>
      </c>
      <c r="L68" s="8">
        <v>100000</v>
      </c>
      <c r="N68" s="8">
        <v>0</v>
      </c>
      <c r="P68" s="8">
        <v>0</v>
      </c>
    </row>
    <row r="69" spans="3:16" x14ac:dyDescent="0.25">
      <c r="D69" s="3" t="s">
        <v>175</v>
      </c>
      <c r="H69" s="8">
        <v>85000</v>
      </c>
      <c r="J69" s="8">
        <v>85000</v>
      </c>
      <c r="L69" s="8">
        <v>85000</v>
      </c>
      <c r="N69" s="8">
        <v>0</v>
      </c>
      <c r="P69" s="8">
        <v>0</v>
      </c>
    </row>
    <row r="70" spans="3:16" x14ac:dyDescent="0.25">
      <c r="D70" s="3" t="s">
        <v>33</v>
      </c>
      <c r="H70" s="8">
        <v>296459.48</v>
      </c>
      <c r="J70" s="8">
        <v>296459.48</v>
      </c>
      <c r="L70" s="8">
        <v>296459.48</v>
      </c>
      <c r="N70" s="8">
        <v>0</v>
      </c>
      <c r="P70" s="8">
        <v>0</v>
      </c>
    </row>
    <row r="71" spans="3:16" x14ac:dyDescent="0.25">
      <c r="D71" s="94" t="s">
        <v>765</v>
      </c>
      <c r="H71" s="8">
        <v>200000</v>
      </c>
      <c r="J71" s="8">
        <v>200000</v>
      </c>
      <c r="L71" s="8">
        <v>200000</v>
      </c>
      <c r="N71" s="8">
        <v>0</v>
      </c>
      <c r="P71" s="8">
        <v>0</v>
      </c>
    </row>
    <row r="72" spans="3:16" x14ac:dyDescent="0.25">
      <c r="D72" s="3" t="s">
        <v>433</v>
      </c>
      <c r="H72" s="8">
        <v>300000</v>
      </c>
      <c r="J72" s="8">
        <v>300000</v>
      </c>
      <c r="L72" s="8">
        <v>300000</v>
      </c>
      <c r="N72" s="8">
        <v>0</v>
      </c>
      <c r="P72" s="8">
        <v>0</v>
      </c>
    </row>
    <row r="73" spans="3:16" x14ac:dyDescent="0.25">
      <c r="C73" s="11" t="s">
        <v>176</v>
      </c>
    </row>
    <row r="74" spans="3:16" x14ac:dyDescent="0.25">
      <c r="D74" s="3" t="s">
        <v>34</v>
      </c>
      <c r="F74" s="7">
        <v>50301020</v>
      </c>
      <c r="H74" s="8">
        <v>1503173.44</v>
      </c>
      <c r="J74" s="8">
        <v>1503173.44</v>
      </c>
      <c r="L74" s="8">
        <v>1503173.44</v>
      </c>
      <c r="N74" s="8">
        <v>0</v>
      </c>
      <c r="P74" s="8">
        <v>0</v>
      </c>
    </row>
    <row r="75" spans="3:16" x14ac:dyDescent="0.25">
      <c r="D75" s="3" t="s">
        <v>18</v>
      </c>
      <c r="F75" s="7">
        <v>20102040</v>
      </c>
      <c r="H75" s="8">
        <v>9558879</v>
      </c>
      <c r="J75" s="8">
        <v>9558879</v>
      </c>
      <c r="L75" s="8">
        <v>9558878.7200000007</v>
      </c>
      <c r="N75" s="8">
        <v>0</v>
      </c>
      <c r="P75" s="8">
        <v>0.28000000000000003</v>
      </c>
    </row>
    <row r="76" spans="3:16" x14ac:dyDescent="0.25">
      <c r="D76" s="3" t="s">
        <v>23</v>
      </c>
      <c r="F76" s="7">
        <v>50210010</v>
      </c>
      <c r="H76" s="8">
        <v>34200000</v>
      </c>
      <c r="J76" s="8">
        <v>34200000</v>
      </c>
      <c r="L76" s="8">
        <v>34200000</v>
      </c>
      <c r="N76" s="8">
        <v>0</v>
      </c>
      <c r="P76" s="8">
        <v>0</v>
      </c>
    </row>
    <row r="77" spans="3:16" x14ac:dyDescent="0.25">
      <c r="D77" s="3" t="s">
        <v>24</v>
      </c>
      <c r="F77" s="7">
        <v>50210030</v>
      </c>
      <c r="H77" s="8">
        <v>416000</v>
      </c>
      <c r="J77" s="8">
        <v>416000</v>
      </c>
      <c r="L77" s="8">
        <v>415971.99</v>
      </c>
      <c r="N77" s="8">
        <v>0</v>
      </c>
      <c r="P77" s="8">
        <v>28.01</v>
      </c>
    </row>
    <row r="78" spans="3:16" x14ac:dyDescent="0.25">
      <c r="C78" s="11" t="s">
        <v>177</v>
      </c>
    </row>
    <row r="79" spans="3:16" x14ac:dyDescent="0.25">
      <c r="C79" s="11" t="s">
        <v>35</v>
      </c>
      <c r="H79" s="17">
        <f>SUM(H80:H82)</f>
        <v>1027791</v>
      </c>
      <c r="J79" s="17">
        <f>SUM(J80:J82)</f>
        <v>1027791</v>
      </c>
      <c r="L79" s="17">
        <f>SUM(L80:L82)</f>
        <v>1027791</v>
      </c>
      <c r="N79" s="17">
        <f>SUM(N80:N82)</f>
        <v>0</v>
      </c>
      <c r="P79" s="17">
        <f>SUM(P80:P82)</f>
        <v>0</v>
      </c>
    </row>
    <row r="80" spans="3:16" x14ac:dyDescent="0.25">
      <c r="D80" s="3" t="s">
        <v>36</v>
      </c>
      <c r="F80" s="7">
        <v>50203010</v>
      </c>
      <c r="H80" s="8">
        <v>29991</v>
      </c>
      <c r="J80" s="8">
        <v>29991</v>
      </c>
      <c r="L80" s="8">
        <v>29991</v>
      </c>
      <c r="N80" s="8">
        <v>0</v>
      </c>
      <c r="P80" s="8">
        <v>0</v>
      </c>
    </row>
    <row r="81" spans="3:16" x14ac:dyDescent="0.25">
      <c r="D81" s="3" t="s">
        <v>37</v>
      </c>
      <c r="F81" s="7">
        <v>50203990</v>
      </c>
      <c r="H81" s="8">
        <v>25000</v>
      </c>
      <c r="J81" s="8">
        <v>25000</v>
      </c>
      <c r="L81" s="8">
        <v>25000</v>
      </c>
      <c r="N81" s="8">
        <v>0</v>
      </c>
      <c r="P81" s="8">
        <v>0</v>
      </c>
    </row>
    <row r="82" spans="3:16" x14ac:dyDescent="0.25">
      <c r="D82" s="3" t="s">
        <v>38</v>
      </c>
      <c r="F82" s="7">
        <v>50299030</v>
      </c>
      <c r="H82" s="8">
        <v>972800</v>
      </c>
      <c r="J82" s="8">
        <v>972800</v>
      </c>
      <c r="L82" s="8">
        <v>972800</v>
      </c>
      <c r="N82" s="8">
        <v>0</v>
      </c>
      <c r="P82" s="8">
        <v>0</v>
      </c>
    </row>
    <row r="83" spans="3:16" x14ac:dyDescent="0.25">
      <c r="C83" s="11" t="s">
        <v>39</v>
      </c>
      <c r="H83" s="17">
        <f>SUM(H84:H92)</f>
        <v>17770422.710000001</v>
      </c>
      <c r="J83" s="17">
        <f>SUM(J84:J92)</f>
        <v>17770422.710000001</v>
      </c>
      <c r="L83" s="17">
        <f>SUM(L84:L92)</f>
        <v>17761832.84</v>
      </c>
      <c r="N83" s="17">
        <f>SUM(N84:N92)</f>
        <v>0</v>
      </c>
      <c r="P83" s="17">
        <f>SUM(P84:P92)</f>
        <v>8589.8700000000008</v>
      </c>
    </row>
    <row r="84" spans="3:16" x14ac:dyDescent="0.25">
      <c r="D84" s="3" t="s">
        <v>36</v>
      </c>
      <c r="F84" s="7">
        <v>50203010</v>
      </c>
      <c r="H84" s="8">
        <v>198342</v>
      </c>
      <c r="J84" s="8">
        <v>198342</v>
      </c>
      <c r="L84" s="8">
        <v>198342</v>
      </c>
      <c r="N84" s="8">
        <v>0</v>
      </c>
      <c r="P84" s="8">
        <v>0</v>
      </c>
    </row>
    <row r="85" spans="3:16" x14ac:dyDescent="0.25">
      <c r="D85" s="3" t="s">
        <v>37</v>
      </c>
      <c r="F85" s="7">
        <v>50203990</v>
      </c>
      <c r="H85" s="8">
        <v>3286855.72</v>
      </c>
      <c r="J85" s="8">
        <v>3286855.72</v>
      </c>
      <c r="L85" s="8">
        <v>3286855.72</v>
      </c>
      <c r="N85" s="8">
        <v>0</v>
      </c>
      <c r="P85" s="8">
        <v>0</v>
      </c>
    </row>
    <row r="86" spans="3:16" x14ac:dyDescent="0.25">
      <c r="D86" s="3" t="s">
        <v>22</v>
      </c>
      <c r="F86" s="7">
        <v>50205020</v>
      </c>
      <c r="H86" s="8">
        <v>23500</v>
      </c>
      <c r="J86" s="8">
        <v>23500</v>
      </c>
      <c r="L86" s="8">
        <v>23500</v>
      </c>
      <c r="N86" s="8">
        <v>0</v>
      </c>
      <c r="P86" s="8">
        <v>0</v>
      </c>
    </row>
    <row r="87" spans="3:16" x14ac:dyDescent="0.25">
      <c r="D87" s="3" t="s">
        <v>40</v>
      </c>
      <c r="F87" s="7">
        <v>50206020</v>
      </c>
      <c r="H87" s="8">
        <v>3486100</v>
      </c>
      <c r="J87" s="8">
        <v>3486100</v>
      </c>
      <c r="L87" s="8">
        <v>3486100</v>
      </c>
      <c r="N87" s="8">
        <v>0</v>
      </c>
      <c r="P87" s="8">
        <v>0</v>
      </c>
    </row>
    <row r="88" spans="3:16" x14ac:dyDescent="0.25">
      <c r="D88" s="3" t="s">
        <v>25</v>
      </c>
      <c r="F88" s="7">
        <v>50211990</v>
      </c>
      <c r="H88" s="8">
        <v>3332849.99</v>
      </c>
      <c r="J88" s="8">
        <v>3332849.99</v>
      </c>
      <c r="L88" s="8">
        <v>3324260.12</v>
      </c>
      <c r="N88" s="8">
        <v>0</v>
      </c>
      <c r="P88" s="8">
        <v>8589.8700000000008</v>
      </c>
    </row>
    <row r="89" spans="3:16" x14ac:dyDescent="0.25">
      <c r="D89" s="3" t="s">
        <v>41</v>
      </c>
      <c r="F89" s="7">
        <v>50299010</v>
      </c>
      <c r="H89" s="8">
        <v>115000</v>
      </c>
      <c r="J89" s="8">
        <v>115000</v>
      </c>
      <c r="L89" s="8">
        <v>115000</v>
      </c>
      <c r="N89" s="8">
        <v>0</v>
      </c>
      <c r="P89" s="8">
        <v>0</v>
      </c>
    </row>
    <row r="90" spans="3:16" x14ac:dyDescent="0.25">
      <c r="D90" s="3" t="s">
        <v>38</v>
      </c>
      <c r="F90" s="7">
        <v>50299030</v>
      </c>
      <c r="H90" s="8">
        <v>3468650</v>
      </c>
      <c r="J90" s="8">
        <v>3468650</v>
      </c>
      <c r="L90" s="8">
        <v>3468650</v>
      </c>
      <c r="N90" s="8">
        <v>0</v>
      </c>
      <c r="P90" s="8">
        <v>0</v>
      </c>
    </row>
    <row r="91" spans="3:16" x14ac:dyDescent="0.25">
      <c r="D91" s="3" t="s">
        <v>42</v>
      </c>
      <c r="F91" s="7">
        <v>50299050</v>
      </c>
      <c r="H91" s="8">
        <v>3806625</v>
      </c>
      <c r="J91" s="8">
        <v>3806625</v>
      </c>
      <c r="L91" s="8">
        <v>3806625</v>
      </c>
      <c r="N91" s="8">
        <v>0</v>
      </c>
      <c r="P91" s="8">
        <v>0</v>
      </c>
    </row>
    <row r="92" spans="3:16" x14ac:dyDescent="0.25">
      <c r="D92" s="3" t="s">
        <v>43</v>
      </c>
      <c r="F92" s="7">
        <v>50299080</v>
      </c>
      <c r="H92" s="8">
        <v>52500</v>
      </c>
      <c r="J92" s="8">
        <v>52500</v>
      </c>
      <c r="L92" s="8">
        <v>52500</v>
      </c>
      <c r="N92" s="8">
        <v>0</v>
      </c>
      <c r="P92" s="8">
        <v>0</v>
      </c>
    </row>
    <row r="93" spans="3:16" x14ac:dyDescent="0.25">
      <c r="C93" s="11" t="s">
        <v>44</v>
      </c>
      <c r="H93" s="17">
        <f>SUM(H94:H96)</f>
        <v>299004.45</v>
      </c>
      <c r="J93" s="17">
        <f>SUM(J94:J96)</f>
        <v>299004.45</v>
      </c>
      <c r="L93" s="17">
        <f>SUM(L94:L96)</f>
        <v>299004.45</v>
      </c>
      <c r="N93" s="17">
        <f>SUM(N94:N96)</f>
        <v>0</v>
      </c>
      <c r="P93" s="17">
        <f>SUM(P94:P96)</f>
        <v>0</v>
      </c>
    </row>
    <row r="94" spans="3:16" x14ac:dyDescent="0.25">
      <c r="D94" s="3" t="s">
        <v>20</v>
      </c>
      <c r="F94" s="7">
        <v>50203090</v>
      </c>
      <c r="H94" s="8">
        <v>149763.95000000001</v>
      </c>
      <c r="J94" s="8">
        <v>149763.95000000001</v>
      </c>
      <c r="L94" s="8">
        <v>149763.95000000001</v>
      </c>
      <c r="N94" s="8">
        <v>0</v>
      </c>
      <c r="P94" s="8">
        <v>0</v>
      </c>
    </row>
    <row r="95" spans="3:16" x14ac:dyDescent="0.25">
      <c r="D95" s="3" t="s">
        <v>37</v>
      </c>
      <c r="F95" s="7">
        <v>50203990</v>
      </c>
      <c r="H95" s="8">
        <v>49415.5</v>
      </c>
      <c r="J95" s="8">
        <v>49415.5</v>
      </c>
      <c r="L95" s="8">
        <v>49415.5</v>
      </c>
      <c r="N95" s="8">
        <v>0</v>
      </c>
      <c r="P95" s="8">
        <v>0</v>
      </c>
    </row>
    <row r="96" spans="3:16" x14ac:dyDescent="0.25">
      <c r="D96" s="3" t="s">
        <v>38</v>
      </c>
      <c r="F96" s="7">
        <v>50299030</v>
      </c>
      <c r="H96" s="8">
        <v>99825</v>
      </c>
      <c r="J96" s="8">
        <v>99825</v>
      </c>
      <c r="L96" s="8">
        <v>99825</v>
      </c>
      <c r="N96" s="8">
        <v>0</v>
      </c>
      <c r="P96" s="8">
        <v>0</v>
      </c>
    </row>
    <row r="97" spans="3:16" x14ac:dyDescent="0.25">
      <c r="C97" s="11" t="s">
        <v>45</v>
      </c>
      <c r="H97" s="17">
        <f>SUM(H98:H100)</f>
        <v>174417.24</v>
      </c>
      <c r="I97" s="13"/>
      <c r="J97" s="17">
        <f>SUM(J98:J100)</f>
        <v>174417.24</v>
      </c>
      <c r="K97" s="13"/>
      <c r="L97" s="17">
        <f>SUM(L98:L100)</f>
        <v>85967.239999999991</v>
      </c>
      <c r="M97" s="13"/>
      <c r="N97" s="17">
        <f>SUM(N98:N100)</f>
        <v>0</v>
      </c>
      <c r="O97" s="13"/>
      <c r="P97" s="17">
        <f>SUM(P98:P100)</f>
        <v>88450</v>
      </c>
    </row>
    <row r="98" spans="3:16" x14ac:dyDescent="0.25">
      <c r="D98" s="3" t="s">
        <v>20</v>
      </c>
      <c r="F98" s="7">
        <v>50203090</v>
      </c>
      <c r="H98" s="8">
        <v>36192.239999999998</v>
      </c>
      <c r="J98" s="8">
        <v>36192.239999999998</v>
      </c>
      <c r="L98" s="8">
        <v>36192.239999999998</v>
      </c>
      <c r="N98" s="8">
        <v>0</v>
      </c>
      <c r="P98" s="8">
        <v>0</v>
      </c>
    </row>
    <row r="99" spans="3:16" x14ac:dyDescent="0.25">
      <c r="D99" s="3" t="s">
        <v>43</v>
      </c>
      <c r="F99" s="7">
        <v>50299080</v>
      </c>
      <c r="H99" s="8">
        <v>88225</v>
      </c>
      <c r="J99" s="8">
        <v>88225</v>
      </c>
      <c r="L99" s="8">
        <v>49775</v>
      </c>
      <c r="N99" s="8">
        <v>0</v>
      </c>
      <c r="P99" s="8">
        <v>38450</v>
      </c>
    </row>
    <row r="100" spans="3:16" x14ac:dyDescent="0.25">
      <c r="D100" s="3" t="s">
        <v>46</v>
      </c>
      <c r="F100" s="7">
        <v>50299080</v>
      </c>
      <c r="H100" s="8">
        <v>50000</v>
      </c>
      <c r="J100" s="8">
        <v>50000</v>
      </c>
      <c r="L100" s="8">
        <v>0</v>
      </c>
      <c r="N100" s="8">
        <v>0</v>
      </c>
      <c r="P100" s="8">
        <v>50000</v>
      </c>
    </row>
    <row r="101" spans="3:16" x14ac:dyDescent="0.25">
      <c r="C101" s="11" t="s">
        <v>47</v>
      </c>
      <c r="H101" s="17">
        <f>SUM(H102:H110)</f>
        <v>594644.38</v>
      </c>
      <c r="J101" s="17">
        <f>SUM(J102:J110)</f>
        <v>594644.38</v>
      </c>
      <c r="L101" s="17">
        <f>SUM(L102:L110)</f>
        <v>578485.46</v>
      </c>
      <c r="N101" s="17">
        <f>SUM(N102:N110)</f>
        <v>0</v>
      </c>
      <c r="P101" s="17">
        <f>SUM(P102:P110)</f>
        <v>16158.92</v>
      </c>
    </row>
    <row r="102" spans="3:16" x14ac:dyDescent="0.25">
      <c r="D102" s="3" t="s">
        <v>760</v>
      </c>
      <c r="F102" s="7">
        <v>50201010</v>
      </c>
      <c r="H102" s="8">
        <v>200000</v>
      </c>
      <c r="J102" s="8">
        <v>200000</v>
      </c>
      <c r="L102" s="8">
        <v>186629.08</v>
      </c>
      <c r="N102" s="8">
        <v>0</v>
      </c>
      <c r="P102" s="8">
        <v>13370.92</v>
      </c>
    </row>
    <row r="103" spans="3:16" x14ac:dyDescent="0.25">
      <c r="D103" s="3" t="s">
        <v>19</v>
      </c>
      <c r="F103" s="7">
        <v>50202010</v>
      </c>
      <c r="H103" s="8">
        <v>50194.8</v>
      </c>
      <c r="J103" s="8">
        <v>50194.8</v>
      </c>
      <c r="L103" s="8">
        <v>50194.8</v>
      </c>
      <c r="N103" s="8">
        <v>0</v>
      </c>
      <c r="P103" s="8">
        <v>0</v>
      </c>
    </row>
    <row r="104" spans="3:16" x14ac:dyDescent="0.25">
      <c r="D104" s="3" t="s">
        <v>36</v>
      </c>
      <c r="F104" s="7">
        <v>50203010</v>
      </c>
      <c r="H104" s="8">
        <v>37567</v>
      </c>
      <c r="J104" s="8">
        <v>37567</v>
      </c>
      <c r="L104" s="8">
        <v>37567</v>
      </c>
      <c r="N104" s="8">
        <v>0</v>
      </c>
      <c r="P104" s="8">
        <v>0</v>
      </c>
    </row>
    <row r="105" spans="3:16" x14ac:dyDescent="0.25">
      <c r="D105" s="3" t="s">
        <v>20</v>
      </c>
      <c r="F105" s="7">
        <v>50203090</v>
      </c>
      <c r="H105" s="8">
        <v>99993.58</v>
      </c>
      <c r="J105" s="8">
        <v>99993.58</v>
      </c>
      <c r="L105" s="8">
        <v>99993.58</v>
      </c>
      <c r="N105" s="8">
        <v>0</v>
      </c>
      <c r="P105" s="8">
        <v>0</v>
      </c>
    </row>
    <row r="106" spans="3:16" x14ac:dyDescent="0.25">
      <c r="D106" s="3" t="s">
        <v>37</v>
      </c>
      <c r="F106" s="7">
        <v>50203990</v>
      </c>
      <c r="H106" s="8">
        <v>10776</v>
      </c>
      <c r="J106" s="8">
        <v>10776</v>
      </c>
      <c r="L106" s="8">
        <v>10776</v>
      </c>
      <c r="N106" s="8">
        <v>0</v>
      </c>
      <c r="P106" s="8">
        <v>0</v>
      </c>
    </row>
    <row r="107" spans="3:16" x14ac:dyDescent="0.25">
      <c r="D107" s="3" t="s">
        <v>21</v>
      </c>
      <c r="F107" s="7">
        <v>50204010</v>
      </c>
      <c r="H107" s="8">
        <v>6000</v>
      </c>
      <c r="J107" s="8">
        <v>6000</v>
      </c>
      <c r="L107" s="8">
        <v>3212</v>
      </c>
      <c r="N107" s="8">
        <v>0</v>
      </c>
      <c r="P107" s="8">
        <v>2788</v>
      </c>
    </row>
    <row r="108" spans="3:16" x14ac:dyDescent="0.25">
      <c r="D108" s="3" t="s">
        <v>22</v>
      </c>
      <c r="F108" s="7">
        <v>50205020</v>
      </c>
      <c r="H108" s="8">
        <v>13200</v>
      </c>
      <c r="J108" s="8">
        <v>13200</v>
      </c>
      <c r="L108" s="8">
        <v>13200</v>
      </c>
      <c r="N108" s="8">
        <v>0</v>
      </c>
      <c r="P108" s="8">
        <v>0</v>
      </c>
    </row>
    <row r="109" spans="3:16" x14ac:dyDescent="0.25">
      <c r="D109" s="3" t="s">
        <v>25</v>
      </c>
      <c r="F109" s="7">
        <v>50211990</v>
      </c>
      <c r="H109" s="8">
        <v>72000</v>
      </c>
      <c r="J109" s="8">
        <v>72000</v>
      </c>
      <c r="L109" s="8">
        <v>72000</v>
      </c>
      <c r="N109" s="8">
        <v>0</v>
      </c>
      <c r="P109" s="8">
        <v>0</v>
      </c>
    </row>
    <row r="110" spans="3:16" x14ac:dyDescent="0.25">
      <c r="D110" s="3" t="s">
        <v>38</v>
      </c>
      <c r="F110" s="7">
        <v>50299030</v>
      </c>
      <c r="H110" s="8">
        <v>104913</v>
      </c>
      <c r="J110" s="8">
        <v>104913</v>
      </c>
      <c r="L110" s="8">
        <v>104913</v>
      </c>
      <c r="N110" s="8">
        <v>0</v>
      </c>
      <c r="P110" s="8">
        <v>0</v>
      </c>
    </row>
    <row r="111" spans="3:16" x14ac:dyDescent="0.25">
      <c r="C111" s="11" t="s">
        <v>178</v>
      </c>
      <c r="H111" s="17">
        <f>SUM(H112:H118)</f>
        <v>1439585</v>
      </c>
      <c r="J111" s="17">
        <f>SUM(J112:J118)</f>
        <v>1439585</v>
      </c>
      <c r="L111" s="17">
        <f>SUM(L112:L118)</f>
        <v>1331912</v>
      </c>
      <c r="N111" s="17">
        <f>SUM(N112:N118)</f>
        <v>0</v>
      </c>
      <c r="P111" s="17">
        <f>SUM(P112:P118)</f>
        <v>107673</v>
      </c>
    </row>
    <row r="112" spans="3:16" x14ac:dyDescent="0.25">
      <c r="D112" s="3" t="s">
        <v>760</v>
      </c>
      <c r="F112" s="7">
        <v>50201010</v>
      </c>
      <c r="H112" s="8">
        <v>55000</v>
      </c>
      <c r="J112" s="8">
        <v>55000</v>
      </c>
      <c r="L112" s="8">
        <v>41762</v>
      </c>
      <c r="N112" s="8">
        <v>0</v>
      </c>
      <c r="P112" s="8">
        <f>+J112-L112</f>
        <v>13238</v>
      </c>
    </row>
    <row r="113" spans="3:16" x14ac:dyDescent="0.25">
      <c r="D113" s="3" t="s">
        <v>19</v>
      </c>
      <c r="F113" s="7">
        <v>50202010</v>
      </c>
      <c r="H113" s="8">
        <v>475660</v>
      </c>
      <c r="J113" s="8">
        <v>475660</v>
      </c>
      <c r="L113" s="95">
        <v>443240</v>
      </c>
      <c r="N113" s="8">
        <v>0</v>
      </c>
      <c r="P113" s="95">
        <v>32420</v>
      </c>
    </row>
    <row r="114" spans="3:16" x14ac:dyDescent="0.25">
      <c r="D114" s="3" t="s">
        <v>37</v>
      </c>
      <c r="F114" s="7">
        <v>50203990</v>
      </c>
      <c r="H114" s="8">
        <v>29640</v>
      </c>
      <c r="J114" s="8">
        <v>29640</v>
      </c>
      <c r="L114" s="8">
        <v>29640</v>
      </c>
      <c r="N114" s="8">
        <v>0</v>
      </c>
      <c r="P114" s="8">
        <v>0</v>
      </c>
    </row>
    <row r="115" spans="3:16" x14ac:dyDescent="0.25">
      <c r="D115" s="3" t="s">
        <v>25</v>
      </c>
      <c r="F115" s="7">
        <v>50211990</v>
      </c>
      <c r="H115" s="8">
        <v>100500</v>
      </c>
      <c r="J115" s="8">
        <v>100500</v>
      </c>
      <c r="L115" s="8">
        <v>100500</v>
      </c>
      <c r="N115" s="8">
        <v>0</v>
      </c>
      <c r="P115" s="8">
        <v>0</v>
      </c>
    </row>
    <row r="116" spans="3:16" x14ac:dyDescent="0.25">
      <c r="D116" s="3" t="s">
        <v>91</v>
      </c>
      <c r="F116" s="7">
        <v>50299020</v>
      </c>
      <c r="H116" s="8">
        <v>29945</v>
      </c>
      <c r="J116" s="8">
        <v>29945</v>
      </c>
      <c r="L116" s="8">
        <v>29945</v>
      </c>
      <c r="N116" s="8">
        <v>0</v>
      </c>
      <c r="P116" s="8">
        <v>0</v>
      </c>
    </row>
    <row r="117" spans="3:16" x14ac:dyDescent="0.25">
      <c r="D117" s="3" t="s">
        <v>38</v>
      </c>
      <c r="F117" s="7">
        <v>50299030</v>
      </c>
      <c r="H117" s="8">
        <v>658840</v>
      </c>
      <c r="J117" s="8">
        <v>658840</v>
      </c>
      <c r="L117" s="8">
        <v>596825</v>
      </c>
      <c r="N117" s="8">
        <v>0</v>
      </c>
      <c r="P117" s="8">
        <v>62015</v>
      </c>
    </row>
    <row r="118" spans="3:16" x14ac:dyDescent="0.25">
      <c r="D118" s="3" t="s">
        <v>43</v>
      </c>
      <c r="F118" s="7">
        <v>50299080</v>
      </c>
      <c r="H118" s="8">
        <v>90000</v>
      </c>
      <c r="J118" s="8">
        <v>90000</v>
      </c>
      <c r="L118" s="8">
        <v>90000</v>
      </c>
      <c r="N118" s="8">
        <v>0</v>
      </c>
      <c r="P118" s="8">
        <v>0</v>
      </c>
    </row>
    <row r="119" spans="3:16" x14ac:dyDescent="0.25">
      <c r="C119" s="11" t="s">
        <v>179</v>
      </c>
      <c r="H119" s="17">
        <f>SUM(H120:H125)</f>
        <v>753516.2</v>
      </c>
      <c r="J119" s="17">
        <f>SUM(J120:J125)</f>
        <v>753516.2</v>
      </c>
      <c r="L119" s="17">
        <f>SUM(L120:L125)</f>
        <v>753516.2</v>
      </c>
      <c r="N119" s="17">
        <f>SUM(N120:N125)</f>
        <v>0</v>
      </c>
      <c r="P119" s="17">
        <f>SUM(P120:P125)</f>
        <v>0</v>
      </c>
    </row>
    <row r="120" spans="3:16" x14ac:dyDescent="0.25">
      <c r="D120" s="3" t="s">
        <v>744</v>
      </c>
      <c r="F120" s="7">
        <v>50201010</v>
      </c>
      <c r="H120" s="8">
        <v>13360</v>
      </c>
      <c r="J120" s="8">
        <v>13360</v>
      </c>
      <c r="L120" s="8">
        <v>13360</v>
      </c>
      <c r="N120" s="8">
        <v>0</v>
      </c>
      <c r="P120" s="8">
        <v>0</v>
      </c>
    </row>
    <row r="121" spans="3:16" x14ac:dyDescent="0.25">
      <c r="D121" s="3" t="s">
        <v>19</v>
      </c>
      <c r="F121" s="7">
        <v>50202010</v>
      </c>
      <c r="H121" s="8">
        <v>532500</v>
      </c>
      <c r="J121" s="8">
        <v>532500</v>
      </c>
      <c r="L121" s="8">
        <v>532500</v>
      </c>
      <c r="N121" s="8">
        <v>0</v>
      </c>
      <c r="P121" s="8">
        <v>0</v>
      </c>
    </row>
    <row r="122" spans="3:16" x14ac:dyDescent="0.25">
      <c r="D122" s="3" t="s">
        <v>751</v>
      </c>
      <c r="F122" s="7">
        <v>50203010</v>
      </c>
      <c r="H122" s="8">
        <v>34988.199999999997</v>
      </c>
      <c r="J122" s="8">
        <v>34988.199999999997</v>
      </c>
      <c r="L122" s="8">
        <v>34988.199999999997</v>
      </c>
      <c r="N122" s="8">
        <v>0</v>
      </c>
      <c r="P122" s="8">
        <v>0</v>
      </c>
    </row>
    <row r="123" spans="3:16" x14ac:dyDescent="0.25">
      <c r="D123" s="3" t="s">
        <v>745</v>
      </c>
      <c r="F123" s="7">
        <v>50205020</v>
      </c>
      <c r="H123" s="8">
        <v>6000</v>
      </c>
      <c r="J123" s="8">
        <v>6000</v>
      </c>
      <c r="L123" s="8">
        <v>6000</v>
      </c>
      <c r="N123" s="8">
        <v>0</v>
      </c>
      <c r="P123" s="8">
        <v>0</v>
      </c>
    </row>
    <row r="124" spans="3:16" x14ac:dyDescent="0.25">
      <c r="D124" s="3" t="s">
        <v>742</v>
      </c>
      <c r="F124" s="7">
        <v>50211990</v>
      </c>
      <c r="H124" s="8">
        <v>66668</v>
      </c>
      <c r="J124" s="8">
        <v>66668</v>
      </c>
      <c r="L124" s="8">
        <v>66668</v>
      </c>
      <c r="N124" s="8">
        <v>0</v>
      </c>
      <c r="P124" s="8">
        <v>0</v>
      </c>
    </row>
    <row r="125" spans="3:16" x14ac:dyDescent="0.25">
      <c r="D125" s="3" t="s">
        <v>735</v>
      </c>
      <c r="F125" s="7">
        <v>50299030</v>
      </c>
      <c r="H125" s="8">
        <v>100000</v>
      </c>
      <c r="J125" s="8">
        <v>100000</v>
      </c>
      <c r="L125" s="8">
        <v>100000</v>
      </c>
      <c r="N125" s="8">
        <v>0</v>
      </c>
      <c r="P125" s="8">
        <v>0</v>
      </c>
    </row>
    <row r="126" spans="3:16" x14ac:dyDescent="0.25">
      <c r="C126" s="11" t="s">
        <v>48</v>
      </c>
      <c r="H126" s="17">
        <f>SUM(H127:H132)</f>
        <v>1587843</v>
      </c>
      <c r="J126" s="17">
        <f>SUM(J127:J132)</f>
        <v>1587843</v>
      </c>
      <c r="L126" s="17">
        <f>SUM(L127:L132)</f>
        <v>1587843</v>
      </c>
      <c r="N126" s="17">
        <f>SUM(N127:N132)</f>
        <v>0</v>
      </c>
      <c r="P126" s="17">
        <f>SUM(P127:P132)</f>
        <v>0</v>
      </c>
    </row>
    <row r="127" spans="3:16" x14ac:dyDescent="0.25">
      <c r="D127" s="3" t="s">
        <v>744</v>
      </c>
      <c r="F127" s="7">
        <v>50201010</v>
      </c>
      <c r="H127" s="8">
        <v>40060</v>
      </c>
      <c r="J127" s="8">
        <v>40060</v>
      </c>
      <c r="L127" s="8">
        <v>40060</v>
      </c>
      <c r="N127" s="8">
        <v>0</v>
      </c>
      <c r="P127" s="8">
        <v>0</v>
      </c>
    </row>
    <row r="128" spans="3:16" x14ac:dyDescent="0.25">
      <c r="D128" s="3" t="s">
        <v>19</v>
      </c>
      <c r="F128" s="7">
        <v>50202010</v>
      </c>
      <c r="H128" s="8">
        <v>339210</v>
      </c>
      <c r="J128" s="8">
        <v>339210</v>
      </c>
      <c r="L128" s="8">
        <v>339210</v>
      </c>
      <c r="N128" s="8">
        <v>0</v>
      </c>
      <c r="P128" s="8">
        <v>0</v>
      </c>
    </row>
    <row r="129" spans="3:16" x14ac:dyDescent="0.25">
      <c r="D129" s="3" t="s">
        <v>751</v>
      </c>
      <c r="F129" s="7">
        <v>50203010</v>
      </c>
      <c r="H129" s="8">
        <v>13300</v>
      </c>
      <c r="J129" s="8">
        <v>13300</v>
      </c>
      <c r="L129" s="8">
        <v>13300</v>
      </c>
      <c r="N129" s="8">
        <v>0</v>
      </c>
      <c r="P129" s="8">
        <v>0</v>
      </c>
    </row>
    <row r="130" spans="3:16" x14ac:dyDescent="0.25">
      <c r="D130" s="3" t="s">
        <v>37</v>
      </c>
      <c r="F130" s="7">
        <v>50203990</v>
      </c>
      <c r="H130" s="8">
        <v>39550</v>
      </c>
      <c r="J130" s="8">
        <v>39550</v>
      </c>
      <c r="L130" s="8">
        <v>39550</v>
      </c>
      <c r="N130" s="8">
        <v>0</v>
      </c>
      <c r="P130" s="8">
        <v>0</v>
      </c>
    </row>
    <row r="131" spans="3:16" x14ac:dyDescent="0.25">
      <c r="D131" s="3" t="s">
        <v>735</v>
      </c>
      <c r="F131" s="7">
        <v>50299030</v>
      </c>
      <c r="H131" s="8">
        <v>270000</v>
      </c>
      <c r="J131" s="8">
        <v>270000</v>
      </c>
      <c r="L131" s="8">
        <v>270000</v>
      </c>
      <c r="N131" s="8">
        <v>0</v>
      </c>
      <c r="P131" s="8">
        <v>0</v>
      </c>
    </row>
    <row r="132" spans="3:16" x14ac:dyDescent="0.25">
      <c r="D132" s="3" t="s">
        <v>746</v>
      </c>
      <c r="F132" s="7">
        <v>50299080</v>
      </c>
      <c r="H132" s="8">
        <v>885723</v>
      </c>
      <c r="J132" s="8">
        <v>885723</v>
      </c>
      <c r="L132" s="8">
        <v>885723</v>
      </c>
      <c r="N132" s="8">
        <v>0</v>
      </c>
      <c r="P132" s="8">
        <v>0</v>
      </c>
    </row>
    <row r="133" spans="3:16" x14ac:dyDescent="0.25">
      <c r="C133" s="11" t="s">
        <v>49</v>
      </c>
      <c r="H133" s="17">
        <f>SUM(H134:H144)</f>
        <v>1279095</v>
      </c>
      <c r="J133" s="17">
        <f>SUM(J134:J144)</f>
        <v>1279095</v>
      </c>
      <c r="L133" s="17">
        <f>SUM(L134:L144)</f>
        <v>1279095</v>
      </c>
      <c r="N133" s="17">
        <f>SUM(N134:N144)</f>
        <v>0</v>
      </c>
      <c r="P133" s="17">
        <f>SUM(P134:P144)</f>
        <v>0</v>
      </c>
    </row>
    <row r="134" spans="3:16" x14ac:dyDescent="0.25">
      <c r="D134" s="3" t="s">
        <v>760</v>
      </c>
      <c r="F134" s="7">
        <v>50201010</v>
      </c>
      <c r="H134" s="8">
        <v>39733</v>
      </c>
      <c r="J134" s="8">
        <v>39733</v>
      </c>
      <c r="L134" s="8">
        <v>39733</v>
      </c>
      <c r="N134" s="8">
        <v>0</v>
      </c>
      <c r="P134" s="8">
        <v>0</v>
      </c>
    </row>
    <row r="135" spans="3:16" x14ac:dyDescent="0.25">
      <c r="D135" s="3" t="s">
        <v>19</v>
      </c>
      <c r="F135" s="7">
        <v>50202010</v>
      </c>
      <c r="H135" s="8">
        <v>27148</v>
      </c>
      <c r="J135" s="8">
        <v>27148</v>
      </c>
      <c r="L135" s="8">
        <v>27148</v>
      </c>
      <c r="N135" s="8">
        <v>0</v>
      </c>
      <c r="P135" s="8">
        <v>0</v>
      </c>
    </row>
    <row r="136" spans="3:16" x14ac:dyDescent="0.25">
      <c r="D136" s="3" t="s">
        <v>36</v>
      </c>
      <c r="F136" s="7">
        <v>50203010</v>
      </c>
      <c r="H136" s="8">
        <v>15934</v>
      </c>
      <c r="J136" s="8">
        <v>15934</v>
      </c>
      <c r="L136" s="8">
        <v>15934</v>
      </c>
      <c r="N136" s="8">
        <v>0</v>
      </c>
      <c r="P136" s="8">
        <v>0</v>
      </c>
    </row>
    <row r="137" spans="3:16" x14ac:dyDescent="0.25">
      <c r="D137" s="3" t="s">
        <v>37</v>
      </c>
      <c r="F137" s="7">
        <v>50203990</v>
      </c>
      <c r="H137" s="8">
        <v>69410</v>
      </c>
      <c r="J137" s="8">
        <v>69410</v>
      </c>
      <c r="L137" s="8">
        <v>69410</v>
      </c>
      <c r="N137" s="8">
        <v>0</v>
      </c>
      <c r="P137" s="8">
        <v>0</v>
      </c>
    </row>
    <row r="138" spans="3:16" x14ac:dyDescent="0.25">
      <c r="D138" s="3" t="s">
        <v>22</v>
      </c>
      <c r="F138" s="7">
        <v>50205020</v>
      </c>
      <c r="H138" s="8">
        <v>9600</v>
      </c>
      <c r="J138" s="8">
        <v>9600</v>
      </c>
      <c r="L138" s="8">
        <v>9600</v>
      </c>
      <c r="N138" s="8">
        <v>0</v>
      </c>
      <c r="P138" s="8">
        <v>0</v>
      </c>
    </row>
    <row r="139" spans="3:16" x14ac:dyDescent="0.25">
      <c r="D139" s="3" t="s">
        <v>40</v>
      </c>
      <c r="F139" s="7">
        <v>50206020</v>
      </c>
      <c r="H139" s="8">
        <v>187200</v>
      </c>
      <c r="J139" s="8">
        <v>187200</v>
      </c>
      <c r="L139" s="8">
        <v>187200</v>
      </c>
      <c r="N139" s="8">
        <v>0</v>
      </c>
      <c r="P139" s="8">
        <v>0</v>
      </c>
    </row>
    <row r="140" spans="3:16" x14ac:dyDescent="0.25">
      <c r="D140" s="3" t="s">
        <v>25</v>
      </c>
      <c r="F140" s="7">
        <v>50211990</v>
      </c>
      <c r="H140" s="8">
        <v>160000</v>
      </c>
      <c r="J140" s="8">
        <v>160000</v>
      </c>
      <c r="L140" s="8">
        <v>160000</v>
      </c>
      <c r="N140" s="8">
        <v>0</v>
      </c>
      <c r="P140" s="8">
        <v>0</v>
      </c>
    </row>
    <row r="141" spans="3:16" x14ac:dyDescent="0.25">
      <c r="D141" s="3" t="s">
        <v>180</v>
      </c>
      <c r="F141" s="7">
        <v>50214030</v>
      </c>
      <c r="H141" s="8">
        <v>386880</v>
      </c>
      <c r="J141" s="8">
        <v>386880</v>
      </c>
      <c r="L141" s="8">
        <v>386880</v>
      </c>
      <c r="N141" s="8">
        <v>0</v>
      </c>
      <c r="P141" s="8">
        <v>0</v>
      </c>
    </row>
    <row r="142" spans="3:16" x14ac:dyDescent="0.25">
      <c r="D142" s="3" t="s">
        <v>735</v>
      </c>
      <c r="F142" s="7">
        <v>50299030</v>
      </c>
      <c r="H142" s="8">
        <v>150000</v>
      </c>
      <c r="J142" s="8">
        <v>150000</v>
      </c>
      <c r="L142" s="8">
        <v>150000</v>
      </c>
      <c r="N142" s="8">
        <v>0</v>
      </c>
      <c r="P142" s="8">
        <v>0</v>
      </c>
    </row>
    <row r="143" spans="3:16" x14ac:dyDescent="0.25">
      <c r="D143" s="3" t="s">
        <v>43</v>
      </c>
      <c r="F143" s="7">
        <v>50299080</v>
      </c>
      <c r="H143" s="8">
        <v>19000</v>
      </c>
      <c r="J143" s="8">
        <v>19000</v>
      </c>
      <c r="L143" s="8">
        <v>19000</v>
      </c>
      <c r="N143" s="8">
        <v>0</v>
      </c>
      <c r="P143" s="8">
        <v>0</v>
      </c>
    </row>
    <row r="144" spans="3:16" x14ac:dyDescent="0.25">
      <c r="D144" s="3" t="s">
        <v>596</v>
      </c>
      <c r="F144" s="7">
        <v>50299080</v>
      </c>
      <c r="H144" s="8">
        <v>214190</v>
      </c>
      <c r="J144" s="8">
        <v>214190</v>
      </c>
      <c r="L144" s="8">
        <v>214190</v>
      </c>
      <c r="N144" s="8">
        <v>0</v>
      </c>
      <c r="P144" s="8">
        <v>0</v>
      </c>
    </row>
    <row r="145" spans="2:18" ht="12.75" customHeight="1" x14ac:dyDescent="0.25">
      <c r="C145" s="11" t="s">
        <v>50</v>
      </c>
      <c r="H145" s="17">
        <f>SUM(H146:H148)</f>
        <v>535938.35</v>
      </c>
      <c r="J145" s="17">
        <f>SUM(J146:J148)</f>
        <v>535938.35</v>
      </c>
      <c r="L145" s="17">
        <f>SUM(L146:L148)</f>
        <v>535938.35</v>
      </c>
      <c r="N145" s="17">
        <f>SUM(N146:N148)</f>
        <v>0</v>
      </c>
      <c r="P145" s="17">
        <f>SUM(P146:P148)</f>
        <v>0</v>
      </c>
    </row>
    <row r="146" spans="2:18" x14ac:dyDescent="0.25">
      <c r="D146" s="3" t="s">
        <v>19</v>
      </c>
      <c r="F146" s="7">
        <v>50202010</v>
      </c>
      <c r="H146" s="8">
        <v>442679.35</v>
      </c>
      <c r="J146" s="8">
        <v>442679.35</v>
      </c>
      <c r="L146" s="8">
        <v>442679.35</v>
      </c>
      <c r="N146" s="8">
        <v>0</v>
      </c>
      <c r="P146" s="8">
        <v>0</v>
      </c>
    </row>
    <row r="147" spans="2:18" x14ac:dyDescent="0.25">
      <c r="D147" s="3" t="s">
        <v>751</v>
      </c>
      <c r="F147" s="7">
        <v>50203010</v>
      </c>
      <c r="H147" s="8">
        <v>46859</v>
      </c>
      <c r="J147" s="8">
        <v>46859</v>
      </c>
      <c r="L147" s="8">
        <v>46859</v>
      </c>
      <c r="N147" s="8">
        <v>0</v>
      </c>
      <c r="P147" s="8">
        <v>0</v>
      </c>
    </row>
    <row r="148" spans="2:18" x14ac:dyDescent="0.25">
      <c r="D148" s="3" t="s">
        <v>595</v>
      </c>
      <c r="F148" s="7">
        <v>50203990</v>
      </c>
      <c r="H148" s="8">
        <v>46400</v>
      </c>
      <c r="J148" s="8">
        <v>46400</v>
      </c>
      <c r="L148" s="8">
        <v>46400</v>
      </c>
      <c r="N148" s="8">
        <v>0</v>
      </c>
      <c r="P148" s="8">
        <v>0</v>
      </c>
    </row>
    <row r="149" spans="2:18" x14ac:dyDescent="0.25">
      <c r="C149" s="11" t="s">
        <v>777</v>
      </c>
      <c r="H149" s="17">
        <f>SUM(H150:H155)</f>
        <v>2494082</v>
      </c>
      <c r="I149" s="13"/>
      <c r="J149" s="17">
        <f>SUM(J150:J155)</f>
        <v>2492582</v>
      </c>
      <c r="K149" s="13"/>
      <c r="L149" s="17">
        <f>SUM(L150:L155)</f>
        <v>2492582</v>
      </c>
      <c r="M149" s="13"/>
      <c r="N149" s="17">
        <f>SUM(N150:N155)</f>
        <v>1500</v>
      </c>
      <c r="O149" s="13"/>
      <c r="P149" s="17">
        <f>SUM(P150:P155)</f>
        <v>0</v>
      </c>
    </row>
    <row r="150" spans="2:18" x14ac:dyDescent="0.25">
      <c r="D150" s="3" t="s">
        <v>760</v>
      </c>
      <c r="F150" s="7">
        <v>50201010</v>
      </c>
      <c r="H150" s="8">
        <v>76025</v>
      </c>
      <c r="J150" s="8">
        <v>76025</v>
      </c>
      <c r="L150" s="8">
        <v>76025</v>
      </c>
      <c r="N150" s="96">
        <v>0</v>
      </c>
      <c r="P150" s="8">
        <v>0</v>
      </c>
    </row>
    <row r="151" spans="2:18" x14ac:dyDescent="0.25">
      <c r="D151" s="3" t="s">
        <v>19</v>
      </c>
      <c r="F151" s="7">
        <v>50202010</v>
      </c>
      <c r="H151" s="8">
        <v>699970</v>
      </c>
      <c r="J151" s="8">
        <v>699970</v>
      </c>
      <c r="L151" s="8">
        <v>699970</v>
      </c>
      <c r="N151" s="96">
        <v>0</v>
      </c>
      <c r="P151" s="8">
        <v>0</v>
      </c>
      <c r="R151" s="97"/>
    </row>
    <row r="152" spans="2:18" x14ac:dyDescent="0.25">
      <c r="D152" s="3" t="s">
        <v>37</v>
      </c>
      <c r="F152" s="7">
        <v>50203990</v>
      </c>
      <c r="H152" s="8">
        <v>13987</v>
      </c>
      <c r="J152" s="8">
        <v>13987</v>
      </c>
      <c r="L152" s="8">
        <v>13987</v>
      </c>
      <c r="N152" s="8">
        <v>0</v>
      </c>
      <c r="P152" s="8">
        <v>0</v>
      </c>
    </row>
    <row r="153" spans="2:18" x14ac:dyDescent="0.25">
      <c r="D153" s="3" t="s">
        <v>22</v>
      </c>
      <c r="F153" s="7">
        <v>50205020</v>
      </c>
      <c r="H153" s="8">
        <v>4500</v>
      </c>
      <c r="J153" s="8">
        <v>3000</v>
      </c>
      <c r="L153" s="8">
        <v>3000</v>
      </c>
      <c r="N153" s="8">
        <f>H153-J153</f>
        <v>1500</v>
      </c>
      <c r="P153" s="8">
        <v>0</v>
      </c>
    </row>
    <row r="154" spans="2:18" x14ac:dyDescent="0.25">
      <c r="D154" s="3" t="s">
        <v>38</v>
      </c>
      <c r="F154" s="7">
        <v>50299030</v>
      </c>
      <c r="H154" s="8">
        <v>580000</v>
      </c>
      <c r="J154" s="8">
        <v>580000</v>
      </c>
      <c r="L154" s="8">
        <v>580000</v>
      </c>
      <c r="N154" s="8">
        <v>0</v>
      </c>
      <c r="P154" s="8">
        <v>0</v>
      </c>
    </row>
    <row r="155" spans="2:18" x14ac:dyDescent="0.25">
      <c r="D155" s="3" t="s">
        <v>43</v>
      </c>
      <c r="F155" s="7">
        <v>50299080</v>
      </c>
      <c r="H155" s="8">
        <v>1119600</v>
      </c>
      <c r="J155" s="8">
        <v>1119600</v>
      </c>
      <c r="L155" s="8">
        <v>1119600</v>
      </c>
      <c r="N155" s="8">
        <v>0</v>
      </c>
      <c r="P155" s="8">
        <v>0</v>
      </c>
    </row>
    <row r="156" spans="2:18" x14ac:dyDescent="0.25">
      <c r="C156" s="11" t="s">
        <v>780</v>
      </c>
    </row>
    <row r="157" spans="2:18" x14ac:dyDescent="0.25">
      <c r="D157" s="3" t="s">
        <v>36</v>
      </c>
      <c r="F157" s="7">
        <v>50203010</v>
      </c>
      <c r="H157" s="17">
        <v>95355</v>
      </c>
      <c r="J157" s="17">
        <v>64605</v>
      </c>
      <c r="L157" s="17">
        <v>64605</v>
      </c>
      <c r="N157" s="17">
        <v>30750</v>
      </c>
      <c r="P157" s="17">
        <v>0</v>
      </c>
    </row>
    <row r="158" spans="2:18" x14ac:dyDescent="0.25">
      <c r="B158" s="11" t="s">
        <v>778</v>
      </c>
      <c r="H158" s="17"/>
      <c r="J158" s="17"/>
      <c r="L158" s="17"/>
      <c r="N158" s="17"/>
      <c r="P158" s="17"/>
    </row>
    <row r="159" spans="2:18" x14ac:dyDescent="0.25">
      <c r="C159" s="11" t="s">
        <v>779</v>
      </c>
      <c r="H159" s="17">
        <f>SUM(H160:H195)</f>
        <v>114000000</v>
      </c>
      <c r="J159" s="17">
        <f>SUM(J160:J195)</f>
        <v>114000000</v>
      </c>
      <c r="L159" s="17">
        <f>SUM(L160:L195)</f>
        <v>102727649.22</v>
      </c>
      <c r="N159" s="17">
        <f>SUM(N160:N195)</f>
        <v>0</v>
      </c>
      <c r="P159" s="17">
        <f>SUM(P160:P195)</f>
        <v>11272350.779999999</v>
      </c>
    </row>
    <row r="160" spans="2:18" x14ac:dyDescent="0.25">
      <c r="B160" s="3" t="s">
        <v>181</v>
      </c>
      <c r="D160" s="11"/>
    </row>
    <row r="161" spans="2:16" x14ac:dyDescent="0.25">
      <c r="C161" s="3" t="s">
        <v>782</v>
      </c>
      <c r="F161" s="7">
        <v>50299080</v>
      </c>
      <c r="H161" s="8">
        <v>2500000</v>
      </c>
      <c r="J161" s="8">
        <v>2500000</v>
      </c>
      <c r="L161" s="8">
        <v>1216869.8899999999</v>
      </c>
      <c r="N161" s="8">
        <v>0</v>
      </c>
      <c r="P161" s="8">
        <v>1283130.1100000001</v>
      </c>
    </row>
    <row r="162" spans="2:16" x14ac:dyDescent="0.25">
      <c r="C162" s="3" t="s">
        <v>783</v>
      </c>
      <c r="F162" s="7">
        <v>50299080</v>
      </c>
      <c r="H162" s="8">
        <v>50000</v>
      </c>
      <c r="J162" s="8">
        <v>50000</v>
      </c>
      <c r="L162" s="8">
        <v>0</v>
      </c>
      <c r="N162" s="8">
        <v>0</v>
      </c>
      <c r="P162" s="8">
        <v>50000</v>
      </c>
    </row>
    <row r="163" spans="2:16" x14ac:dyDescent="0.25">
      <c r="C163" s="3" t="s">
        <v>784</v>
      </c>
      <c r="F163" s="7">
        <v>50299080</v>
      </c>
      <c r="H163" s="8">
        <v>950000</v>
      </c>
      <c r="J163" s="8">
        <v>950000</v>
      </c>
      <c r="L163" s="8">
        <v>772800</v>
      </c>
      <c r="N163" s="8">
        <v>0</v>
      </c>
      <c r="P163" s="8">
        <v>177200</v>
      </c>
    </row>
    <row r="164" spans="2:16" x14ac:dyDescent="0.25">
      <c r="B164" s="3" t="s">
        <v>182</v>
      </c>
      <c r="F164" s="7">
        <v>50299080</v>
      </c>
      <c r="H164" s="8">
        <v>1000000</v>
      </c>
      <c r="J164" s="8">
        <v>1000000</v>
      </c>
      <c r="L164" s="8">
        <v>1000000</v>
      </c>
      <c r="N164" s="8">
        <v>0</v>
      </c>
      <c r="P164" s="8">
        <v>0</v>
      </c>
    </row>
    <row r="165" spans="2:16" x14ac:dyDescent="0.25">
      <c r="B165" s="3" t="s">
        <v>183</v>
      </c>
    </row>
    <row r="166" spans="2:16" x14ac:dyDescent="0.25">
      <c r="C166" s="3" t="s">
        <v>184</v>
      </c>
      <c r="F166" s="7">
        <v>50299080</v>
      </c>
      <c r="H166" s="8">
        <v>3600000</v>
      </c>
      <c r="J166" s="8">
        <v>3600000</v>
      </c>
      <c r="L166" s="8">
        <v>3485005.27</v>
      </c>
      <c r="N166" s="8">
        <v>0</v>
      </c>
      <c r="P166" s="8">
        <v>114994.73</v>
      </c>
    </row>
    <row r="167" spans="2:16" x14ac:dyDescent="0.25">
      <c r="C167" s="3" t="s">
        <v>185</v>
      </c>
      <c r="F167" s="7">
        <v>50299080</v>
      </c>
      <c r="H167" s="8">
        <v>9449000</v>
      </c>
      <c r="J167" s="8">
        <v>9449000</v>
      </c>
      <c r="L167" s="8">
        <v>9270626.8399999999</v>
      </c>
      <c r="N167" s="8">
        <v>0</v>
      </c>
      <c r="P167" s="8">
        <v>178373.16</v>
      </c>
    </row>
    <row r="168" spans="2:16" x14ac:dyDescent="0.25">
      <c r="C168" s="3" t="s">
        <v>186</v>
      </c>
      <c r="F168" s="7">
        <v>50299080</v>
      </c>
      <c r="H168" s="8">
        <v>1000000</v>
      </c>
      <c r="J168" s="8">
        <v>1000000</v>
      </c>
      <c r="L168" s="8">
        <v>969723.1</v>
      </c>
      <c r="N168" s="8">
        <v>0</v>
      </c>
      <c r="P168" s="8">
        <v>30276.9</v>
      </c>
    </row>
    <row r="169" spans="2:16" x14ac:dyDescent="0.25">
      <c r="B169" s="3" t="s">
        <v>785</v>
      </c>
    </row>
    <row r="170" spans="2:16" x14ac:dyDescent="0.25">
      <c r="D170" s="3" t="s">
        <v>786</v>
      </c>
    </row>
    <row r="171" spans="2:16" x14ac:dyDescent="0.25">
      <c r="C171" s="3" t="s">
        <v>187</v>
      </c>
      <c r="F171" s="7">
        <v>50299080</v>
      </c>
      <c r="H171" s="8">
        <v>17300000</v>
      </c>
      <c r="J171" s="8">
        <v>17300000</v>
      </c>
      <c r="L171" s="8">
        <v>17042400</v>
      </c>
      <c r="N171" s="8">
        <v>0</v>
      </c>
      <c r="P171" s="8">
        <v>257600</v>
      </c>
    </row>
    <row r="172" spans="2:16" x14ac:dyDescent="0.25">
      <c r="C172" s="3" t="s">
        <v>787</v>
      </c>
      <c r="F172" s="7">
        <v>50299080</v>
      </c>
      <c r="H172" s="8">
        <v>1000000</v>
      </c>
      <c r="J172" s="8">
        <v>1000000</v>
      </c>
      <c r="L172" s="8">
        <v>901800</v>
      </c>
      <c r="N172" s="8">
        <v>0</v>
      </c>
      <c r="P172" s="8">
        <v>98200</v>
      </c>
    </row>
    <row r="173" spans="2:16" x14ac:dyDescent="0.25">
      <c r="E173" s="3" t="s">
        <v>788</v>
      </c>
    </row>
    <row r="174" spans="2:16" x14ac:dyDescent="0.25">
      <c r="C174" s="3" t="s">
        <v>188</v>
      </c>
      <c r="F174" s="7">
        <v>50299080</v>
      </c>
      <c r="H174" s="8">
        <v>7662000</v>
      </c>
      <c r="J174" s="8">
        <v>7662000</v>
      </c>
      <c r="L174" s="8">
        <v>6009950</v>
      </c>
      <c r="N174" s="8">
        <v>0</v>
      </c>
      <c r="P174" s="8">
        <v>1652050</v>
      </c>
    </row>
    <row r="175" spans="2:16" x14ac:dyDescent="0.25">
      <c r="C175" s="3" t="s">
        <v>189</v>
      </c>
      <c r="F175" s="7">
        <v>50299080</v>
      </c>
      <c r="H175" s="8">
        <v>9950000</v>
      </c>
      <c r="J175" s="8">
        <v>9950000</v>
      </c>
      <c r="L175" s="8">
        <v>9400000</v>
      </c>
      <c r="N175" s="8">
        <v>0</v>
      </c>
      <c r="P175" s="8">
        <v>550000</v>
      </c>
    </row>
    <row r="176" spans="2:16" x14ac:dyDescent="0.25">
      <c r="C176" s="3" t="s">
        <v>190</v>
      </c>
      <c r="F176" s="7">
        <v>50299080</v>
      </c>
      <c r="H176" s="8">
        <v>3000000</v>
      </c>
      <c r="J176" s="8">
        <v>3000000</v>
      </c>
      <c r="L176" s="8">
        <v>2781457.97</v>
      </c>
      <c r="N176" s="8">
        <v>0</v>
      </c>
      <c r="P176" s="8">
        <v>218542.03</v>
      </c>
    </row>
    <row r="177" spans="2:16" x14ac:dyDescent="0.25">
      <c r="C177" s="3" t="s">
        <v>191</v>
      </c>
      <c r="F177" s="7">
        <v>50299080</v>
      </c>
      <c r="H177" s="8">
        <v>1100000</v>
      </c>
      <c r="J177" s="8">
        <v>1100000</v>
      </c>
      <c r="L177" s="8">
        <v>1047719.5</v>
      </c>
      <c r="N177" s="8">
        <v>0</v>
      </c>
      <c r="P177" s="8">
        <v>52280.5</v>
      </c>
    </row>
    <row r="178" spans="2:16" x14ac:dyDescent="0.25">
      <c r="C178" s="3" t="s">
        <v>728</v>
      </c>
      <c r="F178" s="7">
        <v>50299080</v>
      </c>
      <c r="H178" s="8">
        <v>38000</v>
      </c>
      <c r="J178" s="8">
        <v>38000</v>
      </c>
      <c r="L178" s="8">
        <v>0</v>
      </c>
      <c r="N178" s="8">
        <v>0</v>
      </c>
      <c r="P178" s="8">
        <v>38000</v>
      </c>
    </row>
    <row r="179" spans="2:16" x14ac:dyDescent="0.25">
      <c r="D179" s="3" t="s">
        <v>192</v>
      </c>
      <c r="F179" s="7">
        <v>50299080</v>
      </c>
      <c r="H179" s="8">
        <v>3000000</v>
      </c>
      <c r="J179" s="8">
        <v>3000000</v>
      </c>
      <c r="L179" s="8">
        <v>2512026.3199999998</v>
      </c>
      <c r="N179" s="8">
        <v>0</v>
      </c>
      <c r="P179" s="8">
        <v>487973.68</v>
      </c>
    </row>
    <row r="180" spans="2:16" x14ac:dyDescent="0.25">
      <c r="B180" s="3" t="s">
        <v>193</v>
      </c>
    </row>
    <row r="181" spans="2:16" x14ac:dyDescent="0.25">
      <c r="C181" s="3" t="s">
        <v>194</v>
      </c>
      <c r="F181" s="7">
        <v>50299080</v>
      </c>
      <c r="H181" s="8">
        <v>12000000</v>
      </c>
      <c r="J181" s="8">
        <v>12000000</v>
      </c>
      <c r="L181" s="8">
        <v>10259726.66</v>
      </c>
      <c r="N181" s="8">
        <v>0</v>
      </c>
      <c r="P181" s="8">
        <v>1740273.34</v>
      </c>
    </row>
    <row r="182" spans="2:16" x14ac:dyDescent="0.25">
      <c r="C182" s="3" t="s">
        <v>195</v>
      </c>
      <c r="F182" s="7">
        <v>50299080</v>
      </c>
      <c r="H182" s="8">
        <v>700000</v>
      </c>
      <c r="J182" s="8">
        <v>700000</v>
      </c>
      <c r="L182" s="8">
        <v>591868</v>
      </c>
      <c r="N182" s="8">
        <v>0</v>
      </c>
      <c r="P182" s="8">
        <v>108132</v>
      </c>
    </row>
    <row r="183" spans="2:16" x14ac:dyDescent="0.25">
      <c r="B183" s="3" t="s">
        <v>196</v>
      </c>
    </row>
    <row r="184" spans="2:16" x14ac:dyDescent="0.25">
      <c r="C184" s="3" t="s">
        <v>729</v>
      </c>
      <c r="F184" s="7">
        <v>50299080</v>
      </c>
      <c r="H184" s="8">
        <v>5801000</v>
      </c>
      <c r="J184" s="8">
        <v>5801000</v>
      </c>
      <c r="L184" s="8">
        <v>5153000</v>
      </c>
      <c r="N184" s="8">
        <v>0</v>
      </c>
      <c r="P184" s="8">
        <v>648000</v>
      </c>
    </row>
    <row r="185" spans="2:16" x14ac:dyDescent="0.25">
      <c r="C185" s="3" t="s">
        <v>197</v>
      </c>
      <c r="F185" s="7">
        <v>50299080</v>
      </c>
      <c r="H185" s="8">
        <v>1500000</v>
      </c>
      <c r="J185" s="8">
        <v>1500000</v>
      </c>
      <c r="L185" s="8">
        <v>1447177.9</v>
      </c>
      <c r="N185" s="8">
        <v>0</v>
      </c>
      <c r="P185" s="8">
        <v>52822.1</v>
      </c>
    </row>
    <row r="186" spans="2:16" x14ac:dyDescent="0.25">
      <c r="B186" s="3" t="s">
        <v>198</v>
      </c>
    </row>
    <row r="187" spans="2:16" x14ac:dyDescent="0.25">
      <c r="C187" s="3" t="s">
        <v>199</v>
      </c>
      <c r="F187" s="7">
        <v>50299080</v>
      </c>
      <c r="H187" s="8">
        <v>1000000</v>
      </c>
      <c r="J187" s="8">
        <v>1000000</v>
      </c>
      <c r="L187" s="8">
        <v>880350.66</v>
      </c>
      <c r="N187" s="8">
        <v>0</v>
      </c>
      <c r="P187" s="8">
        <v>119649.34</v>
      </c>
    </row>
    <row r="188" spans="2:16" x14ac:dyDescent="0.25">
      <c r="B188" s="3" t="s">
        <v>200</v>
      </c>
    </row>
    <row r="189" spans="2:16" x14ac:dyDescent="0.25">
      <c r="C189" s="3" t="s">
        <v>201</v>
      </c>
      <c r="F189" s="7">
        <v>50299080</v>
      </c>
      <c r="H189" s="8">
        <v>500000</v>
      </c>
      <c r="J189" s="8">
        <v>500000</v>
      </c>
      <c r="L189" s="8">
        <v>353981</v>
      </c>
      <c r="N189" s="8">
        <v>0</v>
      </c>
      <c r="P189" s="8">
        <v>146019</v>
      </c>
    </row>
    <row r="190" spans="2:16" x14ac:dyDescent="0.25">
      <c r="C190" s="3" t="s">
        <v>202</v>
      </c>
      <c r="F190" s="7">
        <v>50299080</v>
      </c>
      <c r="H190" s="8">
        <v>400000</v>
      </c>
      <c r="J190" s="8">
        <v>400000</v>
      </c>
      <c r="L190" s="8">
        <v>60510</v>
      </c>
      <c r="N190" s="8">
        <v>0</v>
      </c>
      <c r="P190" s="8">
        <v>339490</v>
      </c>
    </row>
    <row r="191" spans="2:16" x14ac:dyDescent="0.25">
      <c r="B191" s="3" t="s">
        <v>203</v>
      </c>
    </row>
    <row r="192" spans="2:16" x14ac:dyDescent="0.25">
      <c r="C192" s="3" t="s">
        <v>204</v>
      </c>
      <c r="F192" s="7">
        <v>50299080</v>
      </c>
      <c r="H192" s="8">
        <v>18000000</v>
      </c>
      <c r="J192" s="8">
        <v>18000000</v>
      </c>
      <c r="L192" s="8">
        <v>17482079.190000001</v>
      </c>
      <c r="N192" s="8">
        <v>0</v>
      </c>
      <c r="P192" s="8">
        <v>517920.81</v>
      </c>
    </row>
    <row r="193" spans="2:16" x14ac:dyDescent="0.25">
      <c r="B193" s="3" t="s">
        <v>205</v>
      </c>
    </row>
    <row r="194" spans="2:16" x14ac:dyDescent="0.25">
      <c r="C194" s="3" t="s">
        <v>747</v>
      </c>
      <c r="F194" s="7">
        <v>50299080</v>
      </c>
      <c r="H194" s="8">
        <v>6000000</v>
      </c>
      <c r="J194" s="8">
        <v>6000000</v>
      </c>
      <c r="L194" s="8">
        <v>3917394.92</v>
      </c>
      <c r="N194" s="8">
        <v>0</v>
      </c>
      <c r="P194" s="8">
        <v>2082605.08</v>
      </c>
    </row>
    <row r="195" spans="2:16" x14ac:dyDescent="0.25">
      <c r="C195" s="3" t="s">
        <v>206</v>
      </c>
      <c r="F195" s="7">
        <v>50299080</v>
      </c>
      <c r="H195" s="8">
        <v>6500000</v>
      </c>
      <c r="J195" s="8">
        <v>6500000</v>
      </c>
      <c r="L195" s="8">
        <v>6171182</v>
      </c>
      <c r="N195" s="8">
        <v>0</v>
      </c>
      <c r="P195" s="8">
        <v>328818</v>
      </c>
    </row>
    <row r="196" spans="2:16" x14ac:dyDescent="0.25">
      <c r="C196" s="11" t="s">
        <v>789</v>
      </c>
    </row>
    <row r="197" spans="2:16" x14ac:dyDescent="0.25">
      <c r="D197" s="3" t="s">
        <v>790</v>
      </c>
      <c r="F197" s="7">
        <v>50299080</v>
      </c>
      <c r="H197" s="17">
        <v>6000000</v>
      </c>
      <c r="J197" s="17">
        <v>5535000</v>
      </c>
      <c r="L197" s="17">
        <v>5158641.67</v>
      </c>
      <c r="N197" s="17">
        <v>465000</v>
      </c>
      <c r="P197" s="17">
        <v>376358.33</v>
      </c>
    </row>
    <row r="198" spans="2:16" x14ac:dyDescent="0.25">
      <c r="C198" s="11" t="s">
        <v>207</v>
      </c>
      <c r="H198" s="17">
        <f>SUM(H199:H200)</f>
        <v>1225536.81</v>
      </c>
      <c r="J198" s="17">
        <f>SUM(J199:J200)</f>
        <v>1225536.81</v>
      </c>
      <c r="L198" s="17">
        <f>SUM(L199:L200)</f>
        <v>1225536.7</v>
      </c>
      <c r="N198" s="17">
        <f>SUM(N199:N200)</f>
        <v>0</v>
      </c>
      <c r="P198" s="17">
        <f>SUM(P199:P200)</f>
        <v>0.11000000010244548</v>
      </c>
    </row>
    <row r="199" spans="2:16" x14ac:dyDescent="0.25">
      <c r="D199" s="3" t="s">
        <v>38</v>
      </c>
      <c r="F199" s="7">
        <v>50299030</v>
      </c>
      <c r="H199" s="96">
        <v>500000</v>
      </c>
      <c r="J199" s="96">
        <v>500000</v>
      </c>
      <c r="L199" s="96">
        <v>500000</v>
      </c>
      <c r="N199" s="96">
        <v>0</v>
      </c>
      <c r="P199" s="96">
        <v>0</v>
      </c>
    </row>
    <row r="200" spans="2:16" x14ac:dyDescent="0.25">
      <c r="D200" s="3" t="s">
        <v>411</v>
      </c>
      <c r="F200" s="7">
        <v>50213060</v>
      </c>
      <c r="H200" s="96">
        <v>725536.81</v>
      </c>
      <c r="I200" s="96"/>
      <c r="J200" s="96">
        <v>725536.81</v>
      </c>
      <c r="K200" s="96"/>
      <c r="L200" s="96">
        <v>725536.7</v>
      </c>
      <c r="M200" s="96"/>
      <c r="N200" s="96"/>
      <c r="O200" s="96"/>
      <c r="P200" s="96">
        <f>+J200-L200</f>
        <v>0.11000000010244548</v>
      </c>
    </row>
    <row r="201" spans="2:16" x14ac:dyDescent="0.25">
      <c r="C201" s="11" t="s">
        <v>51</v>
      </c>
      <c r="E201" s="11"/>
      <c r="H201" s="17">
        <f>SUM(H202:H204)</f>
        <v>750000</v>
      </c>
      <c r="J201" s="17">
        <f>SUM(J202:J204)</f>
        <v>750000</v>
      </c>
      <c r="L201" s="17">
        <f>SUM(L202:L204)</f>
        <v>728498.25</v>
      </c>
      <c r="N201" s="17">
        <f>SUM(N202:N204)</f>
        <v>0</v>
      </c>
      <c r="P201" s="17">
        <f>SUM(P202:P204)</f>
        <v>21501.750000000011</v>
      </c>
    </row>
    <row r="202" spans="2:16" x14ac:dyDescent="0.25">
      <c r="D202" s="3" t="s">
        <v>760</v>
      </c>
      <c r="F202" s="7">
        <v>50201010</v>
      </c>
      <c r="H202" s="8">
        <f>237190+15810</f>
        <v>253000</v>
      </c>
      <c r="J202" s="8">
        <f>237190+15810</f>
        <v>253000</v>
      </c>
      <c r="L202" s="8">
        <v>237190</v>
      </c>
      <c r="N202" s="8">
        <f>+H202-J202</f>
        <v>0</v>
      </c>
      <c r="P202" s="8">
        <f>+J202-L202</f>
        <v>15810</v>
      </c>
    </row>
    <row r="203" spans="2:16" x14ac:dyDescent="0.25">
      <c r="D203" s="3" t="s">
        <v>19</v>
      </c>
      <c r="F203" s="7">
        <v>50202010</v>
      </c>
      <c r="H203" s="8">
        <f>473831.8+1168.2</f>
        <v>475000</v>
      </c>
      <c r="J203" s="8">
        <f>473831.8+1168.2</f>
        <v>475000</v>
      </c>
      <c r="L203" s="8">
        <v>473831.8</v>
      </c>
      <c r="N203" s="8">
        <f>+H203-J203</f>
        <v>0</v>
      </c>
      <c r="P203" s="8">
        <f>+J203-L203</f>
        <v>1168.2000000000116</v>
      </c>
    </row>
    <row r="204" spans="2:16" ht="12" customHeight="1" x14ac:dyDescent="0.25">
      <c r="D204" s="3" t="s">
        <v>22</v>
      </c>
      <c r="F204" s="7">
        <v>50205020</v>
      </c>
      <c r="H204" s="8">
        <f>17476.45+4523.55</f>
        <v>22000</v>
      </c>
      <c r="J204" s="8">
        <f>17476.45+4523.55</f>
        <v>22000</v>
      </c>
      <c r="L204" s="8">
        <v>17476.45</v>
      </c>
      <c r="N204" s="8">
        <f>+H204-J204</f>
        <v>0</v>
      </c>
      <c r="P204" s="8">
        <f>+J204-L204</f>
        <v>4523.5499999999993</v>
      </c>
    </row>
    <row r="206" spans="2:16" x14ac:dyDescent="0.25">
      <c r="C206" s="11" t="s">
        <v>208</v>
      </c>
      <c r="F206" s="7">
        <v>300</v>
      </c>
      <c r="H206" s="17">
        <f>SUM(H207:H238)</f>
        <v>41021757.75</v>
      </c>
      <c r="J206" s="17">
        <f>SUM(J207:J238)</f>
        <v>33941500.979999997</v>
      </c>
      <c r="L206" s="17">
        <f>SUM(L207:L238)</f>
        <v>23949401.190000001</v>
      </c>
      <c r="N206" s="17">
        <f>SUM(N207:N238)</f>
        <v>7080256.7699999996</v>
      </c>
      <c r="P206" s="17">
        <f>SUM(P207:P238)</f>
        <v>9992099.7899999991</v>
      </c>
    </row>
    <row r="207" spans="2:16" x14ac:dyDescent="0.25">
      <c r="C207" s="3" t="s">
        <v>213</v>
      </c>
    </row>
    <row r="208" spans="2:16" x14ac:dyDescent="0.25">
      <c r="D208" s="3" t="s">
        <v>525</v>
      </c>
      <c r="F208" s="7">
        <v>10702990</v>
      </c>
      <c r="H208" s="8">
        <v>525000</v>
      </c>
      <c r="J208" s="8">
        <v>525000</v>
      </c>
      <c r="L208" s="8">
        <v>118353</v>
      </c>
      <c r="N208" s="8">
        <v>0</v>
      </c>
      <c r="P208" s="8">
        <v>406647</v>
      </c>
    </row>
    <row r="209" spans="3:16" x14ac:dyDescent="0.25">
      <c r="C209" s="3" t="s">
        <v>214</v>
      </c>
    </row>
    <row r="210" spans="3:16" x14ac:dyDescent="0.25">
      <c r="D210" s="3" t="s">
        <v>209</v>
      </c>
      <c r="F210" s="7">
        <v>10703010</v>
      </c>
      <c r="H210" s="8">
        <v>500000</v>
      </c>
      <c r="J210" s="8">
        <v>500000</v>
      </c>
      <c r="L210" s="8">
        <v>374212.2</v>
      </c>
      <c r="N210" s="8">
        <v>0</v>
      </c>
      <c r="P210" s="8">
        <v>125787.8</v>
      </c>
    </row>
    <row r="211" spans="3:16" x14ac:dyDescent="0.25">
      <c r="C211" s="3" t="s">
        <v>215</v>
      </c>
      <c r="F211" s="7">
        <v>10704010</v>
      </c>
    </row>
    <row r="212" spans="3:16" x14ac:dyDescent="0.25">
      <c r="D212" s="3" t="s">
        <v>597</v>
      </c>
      <c r="H212" s="8">
        <v>1000000</v>
      </c>
      <c r="J212" s="8">
        <v>1000000</v>
      </c>
      <c r="L212" s="8">
        <v>702895.97</v>
      </c>
      <c r="N212" s="8">
        <v>0</v>
      </c>
      <c r="P212" s="8">
        <v>297104.03000000003</v>
      </c>
    </row>
    <row r="213" spans="3:16" x14ac:dyDescent="0.25">
      <c r="D213" s="3" t="s">
        <v>598</v>
      </c>
      <c r="H213" s="8">
        <v>5000000</v>
      </c>
      <c r="J213" s="8">
        <v>5000000</v>
      </c>
      <c r="L213" s="8">
        <v>3753443.61</v>
      </c>
      <c r="N213" s="8">
        <v>0</v>
      </c>
      <c r="P213" s="8">
        <v>1246556.3899999999</v>
      </c>
    </row>
    <row r="214" spans="3:16" x14ac:dyDescent="0.25">
      <c r="D214" s="3" t="s">
        <v>599</v>
      </c>
      <c r="H214" s="8">
        <v>1000000</v>
      </c>
      <c r="J214" s="8">
        <v>1000000</v>
      </c>
      <c r="L214" s="8">
        <v>914138.9</v>
      </c>
      <c r="N214" s="8">
        <v>0</v>
      </c>
      <c r="P214" s="8">
        <v>85861.1</v>
      </c>
    </row>
    <row r="215" spans="3:16" x14ac:dyDescent="0.25">
      <c r="D215" s="3" t="s">
        <v>600</v>
      </c>
      <c r="H215" s="8">
        <v>2000000</v>
      </c>
      <c r="J215" s="8">
        <v>2000000</v>
      </c>
      <c r="L215" s="8">
        <v>2000000</v>
      </c>
      <c r="N215" s="8">
        <v>0</v>
      </c>
      <c r="P215" s="8">
        <v>0</v>
      </c>
    </row>
    <row r="216" spans="3:16" x14ac:dyDescent="0.25">
      <c r="D216" s="3" t="s">
        <v>601</v>
      </c>
      <c r="H216" s="8">
        <v>1397651</v>
      </c>
      <c r="J216" s="8">
        <v>1397651</v>
      </c>
      <c r="L216" s="8">
        <v>888547.55</v>
      </c>
      <c r="N216" s="8">
        <v>0</v>
      </c>
      <c r="P216" s="8">
        <v>509103.45</v>
      </c>
    </row>
    <row r="217" spans="3:16" x14ac:dyDescent="0.25">
      <c r="D217" s="3" t="s">
        <v>602</v>
      </c>
      <c r="H217" s="8">
        <v>6023100</v>
      </c>
      <c r="J217" s="8">
        <v>6023100</v>
      </c>
      <c r="L217" s="8">
        <v>0</v>
      </c>
      <c r="N217" s="8">
        <v>0</v>
      </c>
      <c r="P217" s="8">
        <v>6023100</v>
      </c>
    </row>
    <row r="218" spans="3:16" x14ac:dyDescent="0.25">
      <c r="D218" s="3" t="s">
        <v>603</v>
      </c>
      <c r="H218" s="8">
        <v>483394</v>
      </c>
      <c r="J218" s="8">
        <v>483394</v>
      </c>
      <c r="L218" s="8">
        <v>322205.98</v>
      </c>
      <c r="N218" s="8">
        <v>0</v>
      </c>
      <c r="P218" s="8">
        <v>161188.01999999999</v>
      </c>
    </row>
    <row r="219" spans="3:16" x14ac:dyDescent="0.25">
      <c r="D219" s="3" t="s">
        <v>604</v>
      </c>
      <c r="H219" s="8">
        <v>483475</v>
      </c>
      <c r="J219" s="8">
        <v>483475</v>
      </c>
      <c r="L219" s="8">
        <v>322088.98</v>
      </c>
      <c r="N219" s="8">
        <v>0</v>
      </c>
      <c r="P219" s="8">
        <v>161386.01999999999</v>
      </c>
    </row>
    <row r="220" spans="3:16" x14ac:dyDescent="0.25">
      <c r="D220" s="3" t="s">
        <v>526</v>
      </c>
      <c r="H220" s="8">
        <v>300000</v>
      </c>
      <c r="J220" s="8">
        <v>300000</v>
      </c>
      <c r="L220" s="8">
        <v>0</v>
      </c>
      <c r="N220" s="8">
        <v>0</v>
      </c>
      <c r="P220" s="8">
        <v>300000</v>
      </c>
    </row>
    <row r="221" spans="3:16" x14ac:dyDescent="0.25">
      <c r="C221" s="3" t="s">
        <v>216</v>
      </c>
    </row>
    <row r="222" spans="3:16" x14ac:dyDescent="0.25">
      <c r="D222" s="3" t="s">
        <v>210</v>
      </c>
      <c r="F222" s="7">
        <v>10704990</v>
      </c>
      <c r="H222" s="8">
        <v>300000</v>
      </c>
      <c r="J222" s="8">
        <v>300000</v>
      </c>
      <c r="L222" s="8">
        <v>0</v>
      </c>
      <c r="N222" s="8">
        <v>0</v>
      </c>
      <c r="P222" s="8">
        <v>300000</v>
      </c>
    </row>
    <row r="223" spans="3:16" x14ac:dyDescent="0.25">
      <c r="C223" s="3" t="s">
        <v>260</v>
      </c>
    </row>
    <row r="224" spans="3:16" x14ac:dyDescent="0.25">
      <c r="D224" s="3" t="s">
        <v>53</v>
      </c>
      <c r="F224" s="7">
        <v>10705030</v>
      </c>
      <c r="H224" s="8">
        <v>50000</v>
      </c>
      <c r="J224" s="8">
        <v>50000</v>
      </c>
      <c r="L224" s="8">
        <v>50000</v>
      </c>
      <c r="N224" s="8">
        <v>0</v>
      </c>
      <c r="P224" s="8">
        <v>0</v>
      </c>
    </row>
    <row r="225" spans="3:16" x14ac:dyDescent="0.25">
      <c r="C225" s="3" t="s">
        <v>217</v>
      </c>
    </row>
    <row r="226" spans="3:16" x14ac:dyDescent="0.25">
      <c r="D226" s="3" t="s">
        <v>605</v>
      </c>
      <c r="F226" s="7">
        <v>10705100</v>
      </c>
      <c r="H226" s="8">
        <v>1000000</v>
      </c>
      <c r="J226" s="8">
        <v>0</v>
      </c>
      <c r="L226" s="8">
        <v>0</v>
      </c>
      <c r="N226" s="8">
        <v>1000000</v>
      </c>
      <c r="P226" s="8">
        <v>0</v>
      </c>
    </row>
    <row r="227" spans="3:16" x14ac:dyDescent="0.25">
      <c r="C227" s="3" t="s">
        <v>218</v>
      </c>
    </row>
    <row r="228" spans="3:16" x14ac:dyDescent="0.25">
      <c r="D228" s="3" t="s">
        <v>606</v>
      </c>
      <c r="F228" s="7">
        <v>10705130</v>
      </c>
      <c r="H228" s="8">
        <v>2000000</v>
      </c>
      <c r="J228" s="8">
        <v>2000000</v>
      </c>
      <c r="L228" s="8">
        <v>1993205</v>
      </c>
      <c r="N228" s="8">
        <v>0</v>
      </c>
      <c r="P228" s="8">
        <v>6795</v>
      </c>
    </row>
    <row r="229" spans="3:16" x14ac:dyDescent="0.25">
      <c r="C229" s="3" t="s">
        <v>219</v>
      </c>
      <c r="F229" s="7">
        <v>10706010</v>
      </c>
    </row>
    <row r="230" spans="3:16" x14ac:dyDescent="0.25">
      <c r="D230" s="3" t="s">
        <v>607</v>
      </c>
      <c r="H230" s="8">
        <v>4500000</v>
      </c>
      <c r="J230" s="8">
        <v>4500000</v>
      </c>
      <c r="L230" s="8">
        <v>4500000</v>
      </c>
      <c r="N230" s="8">
        <v>0</v>
      </c>
      <c r="P230" s="8">
        <v>0</v>
      </c>
    </row>
    <row r="231" spans="3:16" x14ac:dyDescent="0.25">
      <c r="D231" s="3" t="s">
        <v>608</v>
      </c>
      <c r="H231" s="8">
        <v>4362240</v>
      </c>
      <c r="J231" s="8">
        <v>4362240</v>
      </c>
      <c r="L231" s="8">
        <v>4362240</v>
      </c>
      <c r="N231" s="8">
        <v>0</v>
      </c>
      <c r="P231" s="8">
        <v>0</v>
      </c>
    </row>
    <row r="232" spans="3:16" x14ac:dyDescent="0.25">
      <c r="D232" s="3" t="s">
        <v>609</v>
      </c>
      <c r="H232" s="8">
        <v>2718000</v>
      </c>
      <c r="J232" s="8">
        <v>2718000</v>
      </c>
      <c r="L232" s="8">
        <v>2718000</v>
      </c>
      <c r="N232" s="8">
        <v>0</v>
      </c>
      <c r="P232" s="8">
        <v>0</v>
      </c>
    </row>
    <row r="233" spans="3:16" x14ac:dyDescent="0.25">
      <c r="D233" s="3" t="s">
        <v>211</v>
      </c>
      <c r="H233" s="8">
        <v>200000</v>
      </c>
      <c r="J233" s="8">
        <v>200000</v>
      </c>
      <c r="L233" s="8">
        <v>200000</v>
      </c>
      <c r="N233" s="8">
        <v>0</v>
      </c>
      <c r="P233" s="8">
        <v>0</v>
      </c>
    </row>
    <row r="234" spans="3:16" x14ac:dyDescent="0.25">
      <c r="C234" s="3" t="s">
        <v>220</v>
      </c>
    </row>
    <row r="235" spans="3:16" x14ac:dyDescent="0.25">
      <c r="D235" s="3" t="s">
        <v>212</v>
      </c>
      <c r="F235" s="7">
        <v>10799990</v>
      </c>
      <c r="H235" s="8">
        <v>1098640.98</v>
      </c>
      <c r="J235" s="8">
        <v>1098640.98</v>
      </c>
      <c r="L235" s="8">
        <v>730070</v>
      </c>
      <c r="N235" s="8">
        <v>0</v>
      </c>
      <c r="P235" s="8">
        <v>368570.98</v>
      </c>
    </row>
    <row r="236" spans="3:16" x14ac:dyDescent="0.25">
      <c r="C236" s="3" t="s">
        <v>221</v>
      </c>
      <c r="F236" s="7">
        <v>10704030</v>
      </c>
    </row>
    <row r="237" spans="3:16" x14ac:dyDescent="0.25">
      <c r="D237" s="3" t="s">
        <v>500</v>
      </c>
      <c r="H237" s="8">
        <v>3000000</v>
      </c>
      <c r="J237" s="8">
        <v>0</v>
      </c>
      <c r="L237" s="8">
        <v>0</v>
      </c>
      <c r="N237" s="8">
        <v>3000000</v>
      </c>
      <c r="P237" s="8">
        <v>0</v>
      </c>
    </row>
    <row r="238" spans="3:16" x14ac:dyDescent="0.25">
      <c r="D238" s="3" t="s">
        <v>501</v>
      </c>
      <c r="H238" s="8">
        <v>3080256.77</v>
      </c>
      <c r="J238" s="8">
        <v>0</v>
      </c>
      <c r="L238" s="8">
        <v>0</v>
      </c>
      <c r="N238" s="8">
        <v>3080256.77</v>
      </c>
      <c r="P238" s="8">
        <v>0</v>
      </c>
    </row>
    <row r="240" spans="3:16" x14ac:dyDescent="0.25">
      <c r="C240" s="11" t="s">
        <v>222</v>
      </c>
      <c r="H240" s="17">
        <f>+H206+H42+H27</f>
        <v>605230308.79999995</v>
      </c>
      <c r="J240" s="17">
        <f>+J206+J42+J27</f>
        <v>597652802.02999997</v>
      </c>
      <c r="L240" s="17">
        <f>+L206+L42+L27</f>
        <v>574639842.62999988</v>
      </c>
      <c r="N240" s="17">
        <f>+N206+N42+N27</f>
        <v>7577506.7699999996</v>
      </c>
      <c r="P240" s="17">
        <f>+P206+P42+P27</f>
        <v>23012959.399999991</v>
      </c>
    </row>
    <row r="241" spans="2:16" ht="12.75" customHeight="1" x14ac:dyDescent="0.25"/>
    <row r="242" spans="2:16" x14ac:dyDescent="0.25">
      <c r="B242" s="11" t="s">
        <v>223</v>
      </c>
      <c r="F242" s="7" t="s">
        <v>224</v>
      </c>
    </row>
    <row r="243" spans="2:16" x14ac:dyDescent="0.25">
      <c r="B243" s="11" t="s">
        <v>160</v>
      </c>
      <c r="F243" s="7">
        <v>100</v>
      </c>
      <c r="H243" s="17">
        <f>SUM(H244:H254)</f>
        <v>2107226.12</v>
      </c>
      <c r="J243" s="17">
        <f>SUM(J244:J254)</f>
        <v>2107226.12</v>
      </c>
      <c r="L243" s="17">
        <f>SUM(L244:L254)</f>
        <v>2107226.12</v>
      </c>
      <c r="N243" s="17">
        <f>SUM(N244:N254)</f>
        <v>0</v>
      </c>
      <c r="P243" s="17">
        <f>SUM(P244:P254)</f>
        <v>0</v>
      </c>
    </row>
    <row r="244" spans="2:16" x14ac:dyDescent="0.25">
      <c r="D244" s="3" t="s">
        <v>8</v>
      </c>
      <c r="F244" s="7">
        <v>50101010</v>
      </c>
      <c r="H244" s="8">
        <v>1557528</v>
      </c>
      <c r="J244" s="8">
        <v>1557528</v>
      </c>
      <c r="L244" s="8">
        <v>1557528</v>
      </c>
      <c r="N244" s="8">
        <v>0</v>
      </c>
      <c r="P244" s="8">
        <v>0</v>
      </c>
    </row>
    <row r="245" spans="2:16" x14ac:dyDescent="0.25">
      <c r="D245" s="3" t="s">
        <v>162</v>
      </c>
      <c r="F245" s="7">
        <v>50102010</v>
      </c>
      <c r="H245" s="8">
        <v>72000</v>
      </c>
      <c r="J245" s="8">
        <v>72000</v>
      </c>
      <c r="L245" s="8">
        <v>72000</v>
      </c>
      <c r="N245" s="8">
        <v>0</v>
      </c>
      <c r="P245" s="8">
        <v>0</v>
      </c>
    </row>
    <row r="246" spans="2:16" x14ac:dyDescent="0.25">
      <c r="D246" s="3" t="s">
        <v>776</v>
      </c>
      <c r="F246" s="7">
        <v>50102020</v>
      </c>
      <c r="H246" s="8">
        <v>115000</v>
      </c>
      <c r="J246" s="8">
        <v>115000</v>
      </c>
      <c r="L246" s="8">
        <v>115000</v>
      </c>
      <c r="N246" s="8">
        <v>0</v>
      </c>
      <c r="P246" s="8">
        <v>0</v>
      </c>
    </row>
    <row r="247" spans="2:16" x14ac:dyDescent="0.25">
      <c r="D247" s="3" t="s">
        <v>11</v>
      </c>
      <c r="F247" s="7">
        <v>50102040</v>
      </c>
      <c r="H247" s="8">
        <v>15000</v>
      </c>
      <c r="J247" s="8">
        <v>15000</v>
      </c>
      <c r="L247" s="8">
        <v>15000</v>
      </c>
      <c r="N247" s="8">
        <v>0</v>
      </c>
      <c r="P247" s="8">
        <v>0</v>
      </c>
    </row>
    <row r="248" spans="2:16" x14ac:dyDescent="0.25">
      <c r="D248" s="3" t="s">
        <v>12</v>
      </c>
      <c r="F248" s="7">
        <v>50102140</v>
      </c>
      <c r="H248" s="8">
        <v>259588</v>
      </c>
      <c r="J248" s="8">
        <v>259588</v>
      </c>
      <c r="L248" s="8">
        <v>259588</v>
      </c>
      <c r="N248" s="8">
        <v>0</v>
      </c>
      <c r="P248" s="8">
        <v>0</v>
      </c>
    </row>
    <row r="249" spans="2:16" x14ac:dyDescent="0.25">
      <c r="D249" s="3" t="s">
        <v>13</v>
      </c>
      <c r="F249" s="7">
        <v>50102150</v>
      </c>
      <c r="H249" s="8">
        <v>15000</v>
      </c>
      <c r="J249" s="8">
        <v>15000</v>
      </c>
      <c r="L249" s="8">
        <v>15000</v>
      </c>
      <c r="N249" s="8">
        <v>0</v>
      </c>
      <c r="P249" s="8">
        <v>0</v>
      </c>
    </row>
    <row r="250" spans="2:16" x14ac:dyDescent="0.25">
      <c r="D250" s="3" t="s">
        <v>164</v>
      </c>
      <c r="F250" s="7">
        <v>50103010</v>
      </c>
      <c r="H250" s="8">
        <v>47829.599999999999</v>
      </c>
      <c r="J250" s="8">
        <v>47829.599999999999</v>
      </c>
      <c r="L250" s="8">
        <v>47829.599999999999</v>
      </c>
      <c r="N250" s="8">
        <v>0</v>
      </c>
      <c r="P250" s="8">
        <v>0</v>
      </c>
    </row>
    <row r="251" spans="2:16" x14ac:dyDescent="0.25">
      <c r="D251" s="3" t="s">
        <v>14</v>
      </c>
      <c r="F251" s="7">
        <v>50103020</v>
      </c>
      <c r="H251" s="8">
        <v>2400</v>
      </c>
      <c r="J251" s="8">
        <v>2400</v>
      </c>
      <c r="L251" s="8">
        <v>2400</v>
      </c>
      <c r="N251" s="8">
        <v>0</v>
      </c>
      <c r="P251" s="8">
        <v>0</v>
      </c>
    </row>
    <row r="252" spans="2:16" x14ac:dyDescent="0.25">
      <c r="D252" s="3" t="s">
        <v>15</v>
      </c>
      <c r="F252" s="7">
        <v>50103030</v>
      </c>
      <c r="H252" s="8">
        <v>5480.52</v>
      </c>
      <c r="J252" s="8">
        <v>5480.52</v>
      </c>
      <c r="L252" s="8">
        <v>5480.52</v>
      </c>
      <c r="N252" s="8">
        <v>0</v>
      </c>
      <c r="P252" s="8">
        <v>0</v>
      </c>
    </row>
    <row r="253" spans="2:16" x14ac:dyDescent="0.25">
      <c r="D253" s="3" t="s">
        <v>165</v>
      </c>
      <c r="F253" s="7">
        <v>50103040</v>
      </c>
      <c r="H253" s="8">
        <v>2400</v>
      </c>
      <c r="J253" s="8">
        <v>2400</v>
      </c>
      <c r="L253" s="8">
        <v>2400</v>
      </c>
      <c r="N253" s="8">
        <v>0</v>
      </c>
      <c r="P253" s="8">
        <v>0</v>
      </c>
    </row>
    <row r="254" spans="2:16" x14ac:dyDescent="0.25">
      <c r="D254" s="3" t="s">
        <v>16</v>
      </c>
      <c r="F254" s="7">
        <v>50104990</v>
      </c>
      <c r="H254" s="8">
        <v>15000</v>
      </c>
      <c r="J254" s="8">
        <v>15000</v>
      </c>
      <c r="L254" s="8">
        <v>15000</v>
      </c>
      <c r="N254" s="8">
        <v>0</v>
      </c>
      <c r="P254" s="8">
        <v>0</v>
      </c>
    </row>
    <row r="255" spans="2:16" x14ac:dyDescent="0.25">
      <c r="B255" s="11" t="s">
        <v>166</v>
      </c>
      <c r="F255" s="7">
        <v>200</v>
      </c>
      <c r="H255" s="17">
        <f>SUM(H256:H273)</f>
        <v>3262793.44</v>
      </c>
      <c r="J255" s="17">
        <f>SUM(J256:J273)</f>
        <v>3262793.44</v>
      </c>
      <c r="L255" s="17">
        <f>SUM(L256:L273)</f>
        <v>3119658.44</v>
      </c>
      <c r="N255" s="17">
        <f>SUM(N256:N273)</f>
        <v>0</v>
      </c>
      <c r="P255" s="17">
        <f>SUM(P256:P273)</f>
        <v>143135</v>
      </c>
    </row>
    <row r="256" spans="2:16" x14ac:dyDescent="0.25">
      <c r="D256" s="3" t="s">
        <v>760</v>
      </c>
      <c r="F256" s="7">
        <v>50201010</v>
      </c>
      <c r="H256" s="8">
        <v>50589</v>
      </c>
      <c r="J256" s="8">
        <v>50589</v>
      </c>
      <c r="L256" s="8">
        <v>50589</v>
      </c>
      <c r="N256" s="8">
        <v>0</v>
      </c>
      <c r="P256" s="8">
        <v>0</v>
      </c>
    </row>
    <row r="257" spans="3:16" x14ac:dyDescent="0.25">
      <c r="D257" s="3" t="s">
        <v>19</v>
      </c>
      <c r="F257" s="7">
        <v>50202010</v>
      </c>
      <c r="H257" s="8">
        <v>100000</v>
      </c>
      <c r="J257" s="8">
        <v>100000</v>
      </c>
      <c r="L257" s="8">
        <v>100000</v>
      </c>
      <c r="N257" s="8">
        <v>0</v>
      </c>
      <c r="P257" s="8">
        <v>0</v>
      </c>
    </row>
    <row r="258" spans="3:16" x14ac:dyDescent="0.25">
      <c r="D258" s="3" t="s">
        <v>36</v>
      </c>
      <c r="F258" s="7">
        <v>50203010</v>
      </c>
      <c r="H258" s="8">
        <v>64319</v>
      </c>
      <c r="J258" s="8">
        <v>64319</v>
      </c>
      <c r="L258" s="8">
        <v>64319</v>
      </c>
      <c r="N258" s="8">
        <v>0</v>
      </c>
      <c r="P258" s="8">
        <v>0</v>
      </c>
    </row>
    <row r="259" spans="3:16" x14ac:dyDescent="0.25">
      <c r="D259" s="3" t="s">
        <v>20</v>
      </c>
      <c r="F259" s="7">
        <v>50203090</v>
      </c>
      <c r="H259" s="8">
        <v>1569942.43</v>
      </c>
      <c r="J259" s="8">
        <v>1569942.43</v>
      </c>
      <c r="L259" s="8">
        <v>1569942.43</v>
      </c>
      <c r="N259" s="8">
        <v>0</v>
      </c>
      <c r="P259" s="8">
        <v>0</v>
      </c>
    </row>
    <row r="260" spans="3:16" x14ac:dyDescent="0.25">
      <c r="D260" s="3" t="s">
        <v>37</v>
      </c>
      <c r="F260" s="7">
        <v>50203990</v>
      </c>
      <c r="H260" s="8">
        <v>86045</v>
      </c>
      <c r="J260" s="8">
        <v>86045</v>
      </c>
      <c r="L260" s="8">
        <v>86045</v>
      </c>
      <c r="N260" s="8">
        <v>0</v>
      </c>
      <c r="P260" s="8">
        <v>0</v>
      </c>
    </row>
    <row r="261" spans="3:16" x14ac:dyDescent="0.25">
      <c r="D261" s="3" t="s">
        <v>22</v>
      </c>
      <c r="F261" s="7">
        <v>50205020</v>
      </c>
      <c r="H261" s="8">
        <v>120010.01</v>
      </c>
      <c r="J261" s="8">
        <v>120010.01</v>
      </c>
      <c r="L261" s="8">
        <v>120010.01</v>
      </c>
      <c r="N261" s="8">
        <v>0</v>
      </c>
      <c r="P261" s="8">
        <v>0</v>
      </c>
    </row>
    <row r="262" spans="3:16" x14ac:dyDescent="0.25">
      <c r="D262" s="3" t="s">
        <v>27</v>
      </c>
      <c r="F262" s="7">
        <v>50213050</v>
      </c>
      <c r="H262" s="8">
        <v>22194</v>
      </c>
      <c r="J262" s="8">
        <v>22194</v>
      </c>
      <c r="L262" s="8">
        <v>22194</v>
      </c>
      <c r="N262" s="8">
        <v>0</v>
      </c>
      <c r="P262" s="8">
        <v>0</v>
      </c>
    </row>
    <row r="263" spans="3:16" x14ac:dyDescent="0.25">
      <c r="D263" s="3" t="s">
        <v>225</v>
      </c>
      <c r="F263" s="7">
        <v>50213060</v>
      </c>
      <c r="H263" s="8">
        <v>417194</v>
      </c>
      <c r="J263" s="8">
        <v>417194</v>
      </c>
      <c r="L263" s="8">
        <v>417194</v>
      </c>
      <c r="N263" s="8">
        <v>0</v>
      </c>
      <c r="P263" s="8">
        <v>0</v>
      </c>
    </row>
    <row r="264" spans="3:16" x14ac:dyDescent="0.25">
      <c r="D264" s="3" t="s">
        <v>761</v>
      </c>
      <c r="F264" s="7">
        <v>50216020</v>
      </c>
      <c r="H264" s="8">
        <v>13500</v>
      </c>
      <c r="J264" s="8">
        <v>13500</v>
      </c>
      <c r="L264" s="8">
        <v>11250</v>
      </c>
      <c r="N264" s="8">
        <v>0</v>
      </c>
      <c r="P264" s="8">
        <v>2250</v>
      </c>
    </row>
    <row r="265" spans="3:16" x14ac:dyDescent="0.25">
      <c r="D265" s="3" t="s">
        <v>83</v>
      </c>
      <c r="F265" s="7">
        <v>50299020</v>
      </c>
      <c r="H265" s="8">
        <v>79000</v>
      </c>
      <c r="J265" s="8">
        <v>79000</v>
      </c>
      <c r="L265" s="8">
        <v>79000</v>
      </c>
      <c r="N265" s="8">
        <v>0</v>
      </c>
      <c r="P265" s="8">
        <v>0</v>
      </c>
    </row>
    <row r="266" spans="3:16" x14ac:dyDescent="0.25">
      <c r="D266" s="3" t="s">
        <v>38</v>
      </c>
      <c r="F266" s="7">
        <v>50299030</v>
      </c>
      <c r="H266" s="8">
        <v>234000</v>
      </c>
      <c r="J266" s="8">
        <v>234000</v>
      </c>
      <c r="L266" s="8">
        <v>231656</v>
      </c>
      <c r="N266" s="8">
        <v>0</v>
      </c>
      <c r="P266" s="8">
        <v>2344</v>
      </c>
    </row>
    <row r="267" spans="3:16" x14ac:dyDescent="0.25">
      <c r="D267" s="3" t="s">
        <v>55</v>
      </c>
      <c r="F267" s="7">
        <v>50299070</v>
      </c>
      <c r="H267" s="8">
        <v>6000</v>
      </c>
      <c r="J267" s="8">
        <v>6000</v>
      </c>
      <c r="L267" s="8">
        <v>5214</v>
      </c>
      <c r="N267" s="8">
        <v>0</v>
      </c>
      <c r="P267" s="8">
        <v>786</v>
      </c>
    </row>
    <row r="268" spans="3:16" x14ac:dyDescent="0.25">
      <c r="C268" s="19" t="s">
        <v>228</v>
      </c>
      <c r="D268" s="19"/>
      <c r="E268" s="21"/>
      <c r="F268" s="90">
        <v>50299080</v>
      </c>
    </row>
    <row r="269" spans="3:16" x14ac:dyDescent="0.25">
      <c r="E269" s="3" t="s">
        <v>56</v>
      </c>
      <c r="H269" s="8">
        <v>100000</v>
      </c>
      <c r="J269" s="8">
        <v>100000</v>
      </c>
      <c r="L269" s="8">
        <v>0</v>
      </c>
      <c r="N269" s="8">
        <v>0</v>
      </c>
      <c r="P269" s="8">
        <v>100000</v>
      </c>
    </row>
    <row r="270" spans="3:16" x14ac:dyDescent="0.25">
      <c r="E270" s="3" t="s">
        <v>226</v>
      </c>
      <c r="H270" s="8">
        <v>100000</v>
      </c>
      <c r="J270" s="8">
        <v>100000</v>
      </c>
      <c r="L270" s="8">
        <v>62460</v>
      </c>
      <c r="N270" s="8">
        <v>0</v>
      </c>
      <c r="P270" s="8">
        <v>37540</v>
      </c>
    </row>
    <row r="271" spans="3:16" x14ac:dyDescent="0.25">
      <c r="E271" s="3" t="s">
        <v>57</v>
      </c>
      <c r="H271" s="8">
        <v>100000</v>
      </c>
      <c r="J271" s="8">
        <v>100000</v>
      </c>
      <c r="L271" s="8">
        <v>99910</v>
      </c>
      <c r="N271" s="8">
        <v>0</v>
      </c>
      <c r="P271" s="8">
        <v>90</v>
      </c>
    </row>
    <row r="272" spans="3:16" x14ac:dyDescent="0.25">
      <c r="E272" s="3" t="s">
        <v>227</v>
      </c>
      <c r="H272" s="8">
        <v>100000</v>
      </c>
      <c r="J272" s="8">
        <v>100000</v>
      </c>
      <c r="L272" s="8">
        <v>99875</v>
      </c>
      <c r="N272" s="8">
        <v>0</v>
      </c>
      <c r="P272" s="8">
        <v>125</v>
      </c>
    </row>
    <row r="273" spans="2:16" x14ac:dyDescent="0.25">
      <c r="E273" s="3" t="s">
        <v>58</v>
      </c>
      <c r="H273" s="8">
        <v>100000</v>
      </c>
      <c r="J273" s="8">
        <v>100000</v>
      </c>
      <c r="L273" s="8">
        <v>100000</v>
      </c>
      <c r="N273" s="8">
        <v>0</v>
      </c>
      <c r="P273" s="8">
        <v>0</v>
      </c>
    </row>
    <row r="275" spans="2:16" x14ac:dyDescent="0.25">
      <c r="C275" s="20" t="s">
        <v>229</v>
      </c>
      <c r="H275" s="17">
        <f>+H255+H243</f>
        <v>5370019.5600000005</v>
      </c>
      <c r="I275" s="8" t="s">
        <v>0</v>
      </c>
      <c r="J275" s="17">
        <f>+J255+J243</f>
        <v>5370019.5600000005</v>
      </c>
      <c r="K275" s="8" t="s">
        <v>0</v>
      </c>
      <c r="L275" s="17">
        <f>+L255+L243</f>
        <v>5226884.5600000005</v>
      </c>
      <c r="M275" s="8" t="s">
        <v>0</v>
      </c>
      <c r="N275" s="17">
        <f>+N255+N243</f>
        <v>0</v>
      </c>
      <c r="O275" s="8" t="s">
        <v>0</v>
      </c>
      <c r="P275" s="17">
        <f>+P255+P243</f>
        <v>143135</v>
      </c>
    </row>
    <row r="277" spans="2:16" x14ac:dyDescent="0.25">
      <c r="B277" s="11" t="s">
        <v>230</v>
      </c>
      <c r="F277" s="7" t="s">
        <v>231</v>
      </c>
    </row>
    <row r="278" spans="2:16" x14ac:dyDescent="0.25">
      <c r="B278" s="11" t="s">
        <v>160</v>
      </c>
      <c r="F278" s="7">
        <v>100</v>
      </c>
      <c r="H278" s="17">
        <f>SUM(H279:H292)</f>
        <v>53715277.329999991</v>
      </c>
      <c r="J278" s="17">
        <f>SUM(J279:J292)</f>
        <v>53715277.329999991</v>
      </c>
      <c r="L278" s="17">
        <f>SUM(L279:L292)</f>
        <v>53708181.749999993</v>
      </c>
      <c r="N278" s="17">
        <f>SUM(N279:N292)</f>
        <v>0</v>
      </c>
      <c r="P278" s="17">
        <f>SUM(P279:P292)</f>
        <v>7095.58</v>
      </c>
    </row>
    <row r="279" spans="2:16" x14ac:dyDescent="0.25">
      <c r="D279" s="3" t="s">
        <v>8</v>
      </c>
      <c r="F279" s="7">
        <v>50101010</v>
      </c>
      <c r="H279" s="8">
        <v>28672336.699999999</v>
      </c>
      <c r="J279" s="8">
        <v>28672336.699999999</v>
      </c>
      <c r="L279" s="8">
        <v>28672336.699999999</v>
      </c>
      <c r="N279" s="8">
        <v>0</v>
      </c>
      <c r="P279" s="8">
        <v>0</v>
      </c>
    </row>
    <row r="280" spans="2:16" x14ac:dyDescent="0.25">
      <c r="D280" s="3" t="s">
        <v>9</v>
      </c>
      <c r="F280" s="7">
        <v>50101020</v>
      </c>
      <c r="H280" s="8">
        <v>12723063.92</v>
      </c>
      <c r="J280" s="8">
        <v>12723063.92</v>
      </c>
      <c r="L280" s="8">
        <v>12715968.34</v>
      </c>
      <c r="N280" s="8">
        <v>0</v>
      </c>
      <c r="P280" s="8">
        <v>7095.58</v>
      </c>
    </row>
    <row r="281" spans="2:16" x14ac:dyDescent="0.25">
      <c r="D281" s="3" t="s">
        <v>162</v>
      </c>
      <c r="F281" s="7">
        <v>50102010</v>
      </c>
      <c r="H281" s="8">
        <v>1343473.12</v>
      </c>
      <c r="J281" s="8">
        <v>1343473.12</v>
      </c>
      <c r="L281" s="8">
        <v>1343473.12</v>
      </c>
      <c r="N281" s="8">
        <v>0</v>
      </c>
      <c r="P281" s="8">
        <v>0</v>
      </c>
    </row>
    <row r="282" spans="2:16" x14ac:dyDescent="0.25">
      <c r="D282" s="3" t="s">
        <v>776</v>
      </c>
      <c r="F282" s="7">
        <v>50102020</v>
      </c>
      <c r="H282" s="8">
        <v>1560500</v>
      </c>
      <c r="J282" s="8">
        <v>1560500</v>
      </c>
      <c r="L282" s="8">
        <v>1560500</v>
      </c>
      <c r="N282" s="8">
        <v>0</v>
      </c>
      <c r="P282" s="8">
        <v>0</v>
      </c>
    </row>
    <row r="283" spans="2:16" x14ac:dyDescent="0.25">
      <c r="D283" s="3" t="s">
        <v>60</v>
      </c>
      <c r="F283" s="7">
        <v>50102030</v>
      </c>
      <c r="H283" s="8">
        <v>90000</v>
      </c>
      <c r="J283" s="8">
        <v>90000</v>
      </c>
      <c r="L283" s="8">
        <v>90000</v>
      </c>
      <c r="N283" s="8">
        <v>0</v>
      </c>
      <c r="P283" s="8">
        <v>0</v>
      </c>
    </row>
    <row r="284" spans="2:16" x14ac:dyDescent="0.25">
      <c r="D284" s="3" t="s">
        <v>11</v>
      </c>
      <c r="F284" s="7">
        <v>50102040</v>
      </c>
      <c r="H284" s="8">
        <v>260000</v>
      </c>
      <c r="J284" s="8">
        <v>260000</v>
      </c>
      <c r="L284" s="8">
        <v>260000</v>
      </c>
      <c r="N284" s="8">
        <v>0</v>
      </c>
      <c r="P284" s="8">
        <v>0</v>
      </c>
    </row>
    <row r="285" spans="2:16" x14ac:dyDescent="0.25">
      <c r="D285" s="3" t="s">
        <v>61</v>
      </c>
      <c r="F285" s="7">
        <v>50102120</v>
      </c>
      <c r="H285" s="8">
        <v>30000</v>
      </c>
      <c r="J285" s="8">
        <v>30000</v>
      </c>
      <c r="L285" s="8">
        <v>30000</v>
      </c>
      <c r="N285" s="8">
        <v>0</v>
      </c>
      <c r="P285" s="8">
        <v>0</v>
      </c>
    </row>
    <row r="286" spans="2:16" x14ac:dyDescent="0.25">
      <c r="D286" s="3" t="s">
        <v>12</v>
      </c>
      <c r="F286" s="7">
        <v>50102140</v>
      </c>
      <c r="H286" s="8">
        <v>4824044</v>
      </c>
      <c r="J286" s="8">
        <v>4824044</v>
      </c>
      <c r="L286" s="8">
        <v>4824044</v>
      </c>
      <c r="N286" s="8">
        <v>0</v>
      </c>
      <c r="P286" s="8">
        <v>0</v>
      </c>
    </row>
    <row r="287" spans="2:16" x14ac:dyDescent="0.25">
      <c r="D287" s="3" t="s">
        <v>13</v>
      </c>
      <c r="F287" s="7">
        <v>50102150</v>
      </c>
      <c r="H287" s="8">
        <v>285750</v>
      </c>
      <c r="J287" s="8">
        <v>285750</v>
      </c>
      <c r="L287" s="8">
        <v>285750</v>
      </c>
      <c r="N287" s="8">
        <v>0</v>
      </c>
      <c r="P287" s="8">
        <v>0</v>
      </c>
    </row>
    <row r="288" spans="2:16" x14ac:dyDescent="0.25">
      <c r="D288" s="3" t="s">
        <v>164</v>
      </c>
      <c r="F288" s="7">
        <v>50103010</v>
      </c>
      <c r="H288" s="8">
        <v>3290037.41</v>
      </c>
      <c r="J288" s="8">
        <v>3290037.41</v>
      </c>
      <c r="L288" s="8">
        <v>3290037.41</v>
      </c>
      <c r="N288" s="8">
        <v>0</v>
      </c>
      <c r="P288" s="8">
        <v>0</v>
      </c>
    </row>
    <row r="289" spans="2:16" x14ac:dyDescent="0.25">
      <c r="D289" s="3" t="s">
        <v>14</v>
      </c>
      <c r="F289" s="7">
        <v>50103020</v>
      </c>
      <c r="H289" s="8">
        <v>66100</v>
      </c>
      <c r="J289" s="8">
        <v>66100</v>
      </c>
      <c r="L289" s="8">
        <v>66100</v>
      </c>
      <c r="N289" s="8">
        <v>0</v>
      </c>
      <c r="P289" s="8">
        <v>0</v>
      </c>
    </row>
    <row r="290" spans="2:16" x14ac:dyDescent="0.25">
      <c r="D290" s="3" t="s">
        <v>15</v>
      </c>
      <c r="F290" s="7">
        <v>50103030</v>
      </c>
      <c r="H290" s="8">
        <v>223575</v>
      </c>
      <c r="J290" s="8">
        <v>223575</v>
      </c>
      <c r="L290" s="8">
        <v>223575</v>
      </c>
      <c r="N290" s="8">
        <v>0</v>
      </c>
      <c r="P290" s="8">
        <v>0</v>
      </c>
    </row>
    <row r="291" spans="2:16" x14ac:dyDescent="0.25">
      <c r="D291" s="3" t="s">
        <v>165</v>
      </c>
      <c r="F291" s="7">
        <v>50103040</v>
      </c>
      <c r="H291" s="8">
        <v>65897.179999999993</v>
      </c>
      <c r="J291" s="8">
        <v>65897.179999999993</v>
      </c>
      <c r="L291" s="8">
        <v>65897.179999999993</v>
      </c>
      <c r="N291" s="8">
        <v>0</v>
      </c>
      <c r="P291" s="8">
        <v>0</v>
      </c>
    </row>
    <row r="292" spans="2:16" x14ac:dyDescent="0.25">
      <c r="D292" s="3" t="s">
        <v>16</v>
      </c>
      <c r="F292" s="7">
        <v>50104990</v>
      </c>
      <c r="H292" s="8">
        <v>280500</v>
      </c>
      <c r="J292" s="8">
        <v>280500</v>
      </c>
      <c r="L292" s="8">
        <v>280500</v>
      </c>
      <c r="N292" s="8">
        <v>0</v>
      </c>
      <c r="P292" s="8">
        <v>0</v>
      </c>
    </row>
    <row r="293" spans="2:16" x14ac:dyDescent="0.25">
      <c r="B293" s="11" t="s">
        <v>166</v>
      </c>
      <c r="F293" s="7">
        <v>200</v>
      </c>
      <c r="H293" s="17">
        <f>SUM(H294:H309,H311,H314)</f>
        <v>22834011.98</v>
      </c>
      <c r="J293" s="17">
        <f>SUM(J294:J309,J311,J314)</f>
        <v>22834011.98</v>
      </c>
      <c r="L293" s="17">
        <f>SUM(L294:L309,L311,L314)</f>
        <v>21101174.710000001</v>
      </c>
      <c r="N293" s="17">
        <f>SUM(N294:N309,N311,N314)</f>
        <v>0</v>
      </c>
      <c r="P293" s="17">
        <f>SUM(P294:P309,P311,P314)</f>
        <v>1732837.2699999998</v>
      </c>
    </row>
    <row r="294" spans="2:16" x14ac:dyDescent="0.25">
      <c r="D294" s="3" t="s">
        <v>760</v>
      </c>
      <c r="F294" s="7">
        <v>50201010</v>
      </c>
      <c r="H294" s="8">
        <v>1587067.99</v>
      </c>
      <c r="J294" s="8">
        <v>1587067.99</v>
      </c>
      <c r="L294" s="8">
        <v>1571313.99</v>
      </c>
      <c r="N294" s="8">
        <v>0</v>
      </c>
      <c r="P294" s="8">
        <v>15754</v>
      </c>
    </row>
    <row r="295" spans="2:16" x14ac:dyDescent="0.25">
      <c r="D295" s="3" t="s">
        <v>19</v>
      </c>
      <c r="F295" s="7">
        <v>50202010</v>
      </c>
      <c r="H295" s="8">
        <v>1684900</v>
      </c>
      <c r="J295" s="8">
        <v>1684900</v>
      </c>
      <c r="L295" s="8">
        <v>1667500</v>
      </c>
      <c r="N295" s="8">
        <v>0</v>
      </c>
      <c r="P295" s="8">
        <v>17400</v>
      </c>
    </row>
    <row r="296" spans="2:16" x14ac:dyDescent="0.25">
      <c r="D296" s="3" t="s">
        <v>36</v>
      </c>
      <c r="F296" s="7">
        <v>50203010</v>
      </c>
      <c r="H296" s="8">
        <v>202410</v>
      </c>
      <c r="J296" s="8">
        <v>202410</v>
      </c>
      <c r="L296" s="8">
        <v>202410</v>
      </c>
      <c r="N296" s="8">
        <v>0</v>
      </c>
      <c r="P296" s="8">
        <v>0</v>
      </c>
    </row>
    <row r="297" spans="2:16" x14ac:dyDescent="0.25">
      <c r="D297" s="3" t="s">
        <v>20</v>
      </c>
      <c r="F297" s="7">
        <v>50203090</v>
      </c>
      <c r="H297" s="8">
        <v>7608229.25</v>
      </c>
      <c r="J297" s="8">
        <v>7608229.25</v>
      </c>
      <c r="L297" s="8">
        <v>7602867.5700000003</v>
      </c>
      <c r="N297" s="8">
        <v>0</v>
      </c>
      <c r="P297" s="8">
        <v>5361.679999999702</v>
      </c>
    </row>
    <row r="298" spans="2:16" x14ac:dyDescent="0.25">
      <c r="D298" s="3" t="s">
        <v>37</v>
      </c>
      <c r="F298" s="7">
        <v>50203990</v>
      </c>
      <c r="H298" s="8">
        <v>140000</v>
      </c>
      <c r="J298" s="8">
        <v>140000</v>
      </c>
      <c r="L298" s="8">
        <v>140000</v>
      </c>
      <c r="N298" s="8">
        <v>0</v>
      </c>
      <c r="P298" s="8">
        <v>0</v>
      </c>
    </row>
    <row r="299" spans="2:16" x14ac:dyDescent="0.25">
      <c r="D299" s="3" t="s">
        <v>21</v>
      </c>
      <c r="F299" s="7">
        <v>50204010</v>
      </c>
      <c r="H299" s="8">
        <v>19800</v>
      </c>
      <c r="J299" s="8">
        <v>19800</v>
      </c>
      <c r="L299" s="8">
        <v>19800</v>
      </c>
      <c r="N299" s="8">
        <v>0</v>
      </c>
      <c r="P299" s="8">
        <v>0</v>
      </c>
    </row>
    <row r="300" spans="2:16" x14ac:dyDescent="0.25">
      <c r="D300" s="3" t="s">
        <v>22</v>
      </c>
      <c r="F300" s="7">
        <v>50205020</v>
      </c>
      <c r="H300" s="8">
        <v>641418.23999999999</v>
      </c>
      <c r="J300" s="8">
        <v>641418.23999999999</v>
      </c>
      <c r="L300" s="8">
        <v>641418.23999999999</v>
      </c>
      <c r="N300" s="8">
        <v>0</v>
      </c>
      <c r="P300" s="8">
        <v>0</v>
      </c>
    </row>
    <row r="301" spans="2:16" x14ac:dyDescent="0.25">
      <c r="D301" s="3" t="s">
        <v>26</v>
      </c>
      <c r="F301" s="7">
        <v>50212990</v>
      </c>
      <c r="H301" s="8">
        <v>7950278</v>
      </c>
      <c r="J301" s="8">
        <v>7950278</v>
      </c>
      <c r="L301" s="8">
        <v>6347997.6600000001</v>
      </c>
      <c r="N301" s="8">
        <v>0</v>
      </c>
      <c r="P301" s="8">
        <v>1602280.34</v>
      </c>
    </row>
    <row r="302" spans="2:16" x14ac:dyDescent="0.25">
      <c r="D302" s="3" t="s">
        <v>27</v>
      </c>
      <c r="F302" s="7">
        <v>50213050</v>
      </c>
      <c r="H302" s="8">
        <v>68476</v>
      </c>
      <c r="J302" s="8">
        <v>68476</v>
      </c>
      <c r="L302" s="8">
        <v>68476</v>
      </c>
      <c r="N302" s="8">
        <v>0</v>
      </c>
      <c r="P302" s="8">
        <v>0</v>
      </c>
    </row>
    <row r="303" spans="2:16" x14ac:dyDescent="0.25">
      <c r="D303" s="3" t="s">
        <v>225</v>
      </c>
      <c r="F303" s="7">
        <v>50213060</v>
      </c>
      <c r="H303" s="8">
        <v>1054175</v>
      </c>
      <c r="J303" s="8">
        <v>1054175</v>
      </c>
      <c r="L303" s="8">
        <v>1054175</v>
      </c>
      <c r="N303" s="8">
        <v>0</v>
      </c>
      <c r="P303" s="8">
        <v>0</v>
      </c>
    </row>
    <row r="304" spans="2:16" x14ac:dyDescent="0.25">
      <c r="D304" s="3" t="s">
        <v>235</v>
      </c>
      <c r="F304" s="7">
        <v>50213060</v>
      </c>
      <c r="H304" s="8">
        <v>375185.5</v>
      </c>
      <c r="J304" s="8">
        <v>375185.5</v>
      </c>
      <c r="L304" s="8">
        <v>375185.5</v>
      </c>
      <c r="N304" s="8">
        <v>0</v>
      </c>
      <c r="P304" s="8">
        <v>0</v>
      </c>
    </row>
    <row r="305" spans="3:16" x14ac:dyDescent="0.25">
      <c r="D305" s="3" t="s">
        <v>761</v>
      </c>
      <c r="F305" s="7">
        <v>50216020</v>
      </c>
      <c r="H305" s="8">
        <v>20000</v>
      </c>
      <c r="J305" s="8">
        <v>20000</v>
      </c>
      <c r="L305" s="8">
        <v>5253.75</v>
      </c>
      <c r="N305" s="8">
        <v>0</v>
      </c>
      <c r="P305" s="8">
        <v>14746.25</v>
      </c>
    </row>
    <row r="306" spans="3:16" x14ac:dyDescent="0.25">
      <c r="D306" s="3" t="s">
        <v>41</v>
      </c>
      <c r="F306" s="7">
        <v>50299010</v>
      </c>
      <c r="H306" s="8">
        <v>150000</v>
      </c>
      <c r="J306" s="8">
        <v>150000</v>
      </c>
      <c r="L306" s="8">
        <v>148500</v>
      </c>
      <c r="N306" s="8">
        <v>0</v>
      </c>
      <c r="P306" s="8">
        <v>1500</v>
      </c>
    </row>
    <row r="307" spans="3:16" x14ac:dyDescent="0.25">
      <c r="D307" s="3" t="s">
        <v>83</v>
      </c>
      <c r="F307" s="7">
        <v>50299020</v>
      </c>
      <c r="H307" s="8">
        <v>232000</v>
      </c>
      <c r="J307" s="8">
        <v>232000</v>
      </c>
      <c r="L307" s="8">
        <v>232000</v>
      </c>
      <c r="N307" s="8">
        <v>0</v>
      </c>
      <c r="P307" s="8">
        <v>0</v>
      </c>
    </row>
    <row r="308" spans="3:16" x14ac:dyDescent="0.25">
      <c r="D308" s="3" t="s">
        <v>174</v>
      </c>
      <c r="F308" s="7">
        <v>50299060</v>
      </c>
      <c r="H308" s="8">
        <v>20000</v>
      </c>
      <c r="J308" s="8">
        <v>20000</v>
      </c>
      <c r="L308" s="8">
        <v>20000</v>
      </c>
      <c r="N308" s="8">
        <v>0</v>
      </c>
      <c r="P308" s="8">
        <v>0</v>
      </c>
    </row>
    <row r="309" spans="3:16" x14ac:dyDescent="0.25">
      <c r="D309" s="3" t="s">
        <v>55</v>
      </c>
      <c r="F309" s="7">
        <v>50299070</v>
      </c>
      <c r="H309" s="8">
        <v>10000</v>
      </c>
      <c r="J309" s="8">
        <v>10000</v>
      </c>
      <c r="L309" s="8">
        <v>6380</v>
      </c>
      <c r="N309" s="8">
        <v>0</v>
      </c>
      <c r="P309" s="8">
        <v>3620</v>
      </c>
    </row>
    <row r="310" spans="3:16" x14ac:dyDescent="0.25">
      <c r="C310" s="11" t="s">
        <v>177</v>
      </c>
    </row>
    <row r="311" spans="3:16" x14ac:dyDescent="0.25">
      <c r="C311" s="11" t="s">
        <v>232</v>
      </c>
      <c r="H311" s="17">
        <f>SUM(H312:H313)</f>
        <v>893880</v>
      </c>
      <c r="J311" s="17">
        <f>SUM(J312:J313)</f>
        <v>893880</v>
      </c>
      <c r="L311" s="17">
        <f>SUM(L312:L313)</f>
        <v>843455</v>
      </c>
      <c r="N311" s="17">
        <f>SUM(N312:N313)</f>
        <v>0</v>
      </c>
      <c r="P311" s="17">
        <f>SUM(P312:P313)</f>
        <v>50425</v>
      </c>
    </row>
    <row r="312" spans="3:16" x14ac:dyDescent="0.25">
      <c r="D312" s="3" t="s">
        <v>37</v>
      </c>
      <c r="F312" s="7">
        <v>50203990</v>
      </c>
      <c r="H312" s="8">
        <v>59880</v>
      </c>
      <c r="J312" s="8">
        <v>59880</v>
      </c>
      <c r="L312" s="8">
        <v>59880</v>
      </c>
      <c r="N312" s="8">
        <v>0</v>
      </c>
      <c r="P312" s="8">
        <v>0</v>
      </c>
    </row>
    <row r="313" spans="3:16" x14ac:dyDescent="0.25">
      <c r="D313" s="3" t="s">
        <v>38</v>
      </c>
      <c r="F313" s="7">
        <v>50299030</v>
      </c>
      <c r="H313" s="8">
        <v>834000</v>
      </c>
      <c r="J313" s="8">
        <v>834000</v>
      </c>
      <c r="L313" s="8">
        <v>783575</v>
      </c>
      <c r="N313" s="8">
        <v>0</v>
      </c>
      <c r="P313" s="8">
        <v>50425</v>
      </c>
    </row>
    <row r="314" spans="3:16" x14ac:dyDescent="0.25">
      <c r="C314" s="11" t="s">
        <v>233</v>
      </c>
      <c r="H314" s="17">
        <f>SUM(H315:H317)</f>
        <v>176192</v>
      </c>
      <c r="J314" s="17">
        <f>SUM(J315:J317)</f>
        <v>176192</v>
      </c>
      <c r="L314" s="17">
        <f>SUM(L315:L317)</f>
        <v>154442</v>
      </c>
      <c r="N314" s="17">
        <f>SUM(N315:N317)</f>
        <v>0</v>
      </c>
      <c r="P314" s="17">
        <f>SUM(P315:P317)</f>
        <v>21750</v>
      </c>
    </row>
    <row r="315" spans="3:16" x14ac:dyDescent="0.25">
      <c r="D315" s="3" t="s">
        <v>19</v>
      </c>
      <c r="F315" s="7">
        <v>50202010</v>
      </c>
      <c r="H315" s="8">
        <v>77000</v>
      </c>
      <c r="J315" s="8">
        <v>77000</v>
      </c>
      <c r="L315" s="8">
        <v>77000</v>
      </c>
      <c r="N315" s="8">
        <v>0</v>
      </c>
      <c r="P315" s="8">
        <v>0</v>
      </c>
    </row>
    <row r="316" spans="3:16" x14ac:dyDescent="0.25">
      <c r="D316" s="3" t="s">
        <v>36</v>
      </c>
      <c r="F316" s="7">
        <v>50203010</v>
      </c>
      <c r="H316" s="8">
        <v>14192</v>
      </c>
      <c r="J316" s="8">
        <v>14192</v>
      </c>
      <c r="L316" s="8">
        <v>14192</v>
      </c>
      <c r="N316" s="8">
        <v>0</v>
      </c>
      <c r="P316" s="8">
        <v>0</v>
      </c>
    </row>
    <row r="317" spans="3:16" x14ac:dyDescent="0.25">
      <c r="D317" s="3" t="s">
        <v>38</v>
      </c>
      <c r="F317" s="7">
        <v>50299030</v>
      </c>
      <c r="H317" s="8">
        <v>85000</v>
      </c>
      <c r="J317" s="8">
        <v>85000</v>
      </c>
      <c r="L317" s="8">
        <v>63250</v>
      </c>
      <c r="N317" s="8">
        <v>0</v>
      </c>
      <c r="P317" s="8">
        <v>21750</v>
      </c>
    </row>
    <row r="319" spans="3:16" x14ac:dyDescent="0.25">
      <c r="C319" s="11" t="s">
        <v>208</v>
      </c>
      <c r="F319" s="7">
        <v>300</v>
      </c>
      <c r="H319" s="17">
        <f>SUM(H320:H321)</f>
        <v>300000</v>
      </c>
      <c r="J319" s="17">
        <f>SUM(J320:J321)</f>
        <v>300000</v>
      </c>
      <c r="L319" s="17">
        <f>SUM(L320:L321)</f>
        <v>0</v>
      </c>
      <c r="N319" s="17">
        <f>SUM(N320:N321)</f>
        <v>0</v>
      </c>
      <c r="P319" s="17">
        <f>SUM(P320:P321)</f>
        <v>300000</v>
      </c>
    </row>
    <row r="320" spans="3:16" x14ac:dyDescent="0.25">
      <c r="D320" s="3" t="s">
        <v>831</v>
      </c>
      <c r="F320" s="7">
        <v>10704010</v>
      </c>
      <c r="H320" s="8">
        <v>176250</v>
      </c>
      <c r="J320" s="8">
        <v>176250</v>
      </c>
      <c r="L320" s="8">
        <v>0</v>
      </c>
      <c r="N320" s="8">
        <v>0</v>
      </c>
      <c r="P320" s="8">
        <v>176250</v>
      </c>
    </row>
    <row r="321" spans="2:16" x14ac:dyDescent="0.25">
      <c r="D321" s="3" t="s">
        <v>832</v>
      </c>
      <c r="F321" s="7">
        <v>10707010</v>
      </c>
      <c r="H321" s="8">
        <v>123750</v>
      </c>
      <c r="J321" s="8">
        <v>123750</v>
      </c>
      <c r="L321" s="8">
        <v>0</v>
      </c>
      <c r="N321" s="8">
        <v>0</v>
      </c>
      <c r="P321" s="8">
        <v>123750</v>
      </c>
    </row>
    <row r="323" spans="2:16" x14ac:dyDescent="0.25">
      <c r="C323" s="11" t="s">
        <v>234</v>
      </c>
      <c r="H323" s="17">
        <f>+H319+H293+H278</f>
        <v>76849289.309999987</v>
      </c>
      <c r="I323" s="8" t="s">
        <v>0</v>
      </c>
      <c r="J323" s="17">
        <f>+J319+J293+J278</f>
        <v>76849289.309999987</v>
      </c>
      <c r="K323" s="8" t="s">
        <v>0</v>
      </c>
      <c r="L323" s="17">
        <f>+L319+L293+L278</f>
        <v>74809356.459999993</v>
      </c>
      <c r="M323" s="8" t="s">
        <v>0</v>
      </c>
      <c r="N323" s="17">
        <f>+N319+N293+N278</f>
        <v>0</v>
      </c>
      <c r="O323" s="8" t="s">
        <v>0</v>
      </c>
      <c r="P323" s="17">
        <f>+P319+P293+P278</f>
        <v>2039932.8499999999</v>
      </c>
    </row>
    <row r="325" spans="2:16" x14ac:dyDescent="0.25">
      <c r="B325" s="11" t="s">
        <v>236</v>
      </c>
      <c r="F325" s="7">
        <v>1031</v>
      </c>
    </row>
    <row r="326" spans="2:16" x14ac:dyDescent="0.25">
      <c r="B326" s="11" t="s">
        <v>160</v>
      </c>
      <c r="F326" s="7">
        <v>100</v>
      </c>
    </row>
    <row r="327" spans="2:16" x14ac:dyDescent="0.25">
      <c r="D327" s="3" t="s">
        <v>7</v>
      </c>
      <c r="H327" s="17">
        <f>SUM(H328:H341)</f>
        <v>29220719.289999999</v>
      </c>
      <c r="J327" s="17">
        <f>SUM(J328:J341)</f>
        <v>29220719.289999999</v>
      </c>
      <c r="L327" s="17">
        <f>SUM(L328:L341)</f>
        <v>29220166.359999999</v>
      </c>
      <c r="N327" s="17">
        <f>SUM(N328:N341)</f>
        <v>0</v>
      </c>
      <c r="P327" s="17">
        <f>SUM(P328:P341)</f>
        <v>552.92999999999995</v>
      </c>
    </row>
    <row r="328" spans="2:16" x14ac:dyDescent="0.25">
      <c r="D328" s="3" t="s">
        <v>8</v>
      </c>
      <c r="F328" s="7">
        <v>50101010</v>
      </c>
      <c r="H328" s="8">
        <v>20036021.879999999</v>
      </c>
      <c r="J328" s="8">
        <v>20036021.879999999</v>
      </c>
      <c r="L328" s="8">
        <v>20036021.879999999</v>
      </c>
      <c r="N328" s="8">
        <v>0</v>
      </c>
      <c r="P328" s="8">
        <v>0</v>
      </c>
    </row>
    <row r="329" spans="2:16" x14ac:dyDescent="0.25">
      <c r="D329" s="3" t="s">
        <v>162</v>
      </c>
      <c r="F329" s="7">
        <v>50102010</v>
      </c>
      <c r="H329" s="8">
        <v>1504528.45</v>
      </c>
      <c r="J329" s="8">
        <v>1504528.45</v>
      </c>
      <c r="L329" s="8">
        <v>1504528.45</v>
      </c>
      <c r="N329" s="8">
        <v>0</v>
      </c>
      <c r="P329" s="8">
        <v>0</v>
      </c>
    </row>
    <row r="330" spans="2:16" x14ac:dyDescent="0.25">
      <c r="D330" s="3" t="s">
        <v>776</v>
      </c>
      <c r="F330" s="7">
        <v>50102020</v>
      </c>
      <c r="H330" s="8">
        <v>260875</v>
      </c>
      <c r="J330" s="8">
        <v>260875</v>
      </c>
      <c r="L330" s="8">
        <v>260875</v>
      </c>
      <c r="N330" s="8">
        <v>0</v>
      </c>
      <c r="P330" s="8">
        <v>0</v>
      </c>
    </row>
    <row r="331" spans="2:16" x14ac:dyDescent="0.25">
      <c r="D331" s="3" t="s">
        <v>60</v>
      </c>
      <c r="F331" s="7">
        <v>50102030</v>
      </c>
      <c r="H331" s="8">
        <v>90000</v>
      </c>
      <c r="J331" s="8">
        <v>90000</v>
      </c>
      <c r="L331" s="8">
        <v>90000</v>
      </c>
      <c r="N331" s="8">
        <v>0</v>
      </c>
      <c r="P331" s="8">
        <v>0</v>
      </c>
    </row>
    <row r="332" spans="2:16" x14ac:dyDescent="0.25">
      <c r="D332" s="3" t="s">
        <v>11</v>
      </c>
      <c r="F332" s="7">
        <v>50102040</v>
      </c>
      <c r="H332" s="8">
        <v>305000</v>
      </c>
      <c r="J332" s="8">
        <v>305000</v>
      </c>
      <c r="L332" s="8">
        <v>305000</v>
      </c>
      <c r="N332" s="8">
        <v>0</v>
      </c>
      <c r="P332" s="8">
        <v>0</v>
      </c>
    </row>
    <row r="333" spans="2:16" x14ac:dyDescent="0.25">
      <c r="D333" s="3" t="s">
        <v>61</v>
      </c>
      <c r="F333" s="7">
        <v>50102120</v>
      </c>
      <c r="H333" s="8">
        <v>45000</v>
      </c>
      <c r="J333" s="8">
        <v>45000</v>
      </c>
      <c r="L333" s="8">
        <v>45000</v>
      </c>
      <c r="N333" s="8">
        <v>0</v>
      </c>
      <c r="P333" s="8">
        <v>0</v>
      </c>
    </row>
    <row r="334" spans="2:16" x14ac:dyDescent="0.25">
      <c r="D334" s="3" t="s">
        <v>77</v>
      </c>
      <c r="F334" s="7">
        <v>50102130</v>
      </c>
      <c r="H334" s="8">
        <v>280000</v>
      </c>
      <c r="J334" s="8">
        <v>280000</v>
      </c>
      <c r="L334" s="8">
        <v>279447.07</v>
      </c>
      <c r="N334" s="8">
        <v>0</v>
      </c>
      <c r="P334" s="8">
        <v>552.92999999999995</v>
      </c>
    </row>
    <row r="335" spans="2:16" x14ac:dyDescent="0.25">
      <c r="D335" s="3" t="s">
        <v>12</v>
      </c>
      <c r="F335" s="7">
        <v>50102140</v>
      </c>
      <c r="H335" s="8">
        <v>3428836</v>
      </c>
      <c r="J335" s="8">
        <v>3428836</v>
      </c>
      <c r="L335" s="8">
        <v>3428836</v>
      </c>
      <c r="N335" s="8">
        <v>0</v>
      </c>
      <c r="P335" s="8">
        <v>0</v>
      </c>
    </row>
    <row r="336" spans="2:16" x14ac:dyDescent="0.25">
      <c r="D336" s="3" t="s">
        <v>13</v>
      </c>
      <c r="F336" s="7">
        <v>50102150</v>
      </c>
      <c r="H336" s="8">
        <v>320000</v>
      </c>
      <c r="J336" s="8">
        <v>320000</v>
      </c>
      <c r="L336" s="8">
        <v>320000</v>
      </c>
      <c r="N336" s="8">
        <v>0</v>
      </c>
      <c r="P336" s="8">
        <v>0</v>
      </c>
    </row>
    <row r="337" spans="2:16" x14ac:dyDescent="0.25">
      <c r="D337" s="3" t="s">
        <v>164</v>
      </c>
      <c r="F337" s="7">
        <v>50103010</v>
      </c>
      <c r="H337" s="8">
        <v>2262386.5699999998</v>
      </c>
      <c r="J337" s="8">
        <v>2262386.5699999998</v>
      </c>
      <c r="L337" s="8">
        <v>2262386.5699999998</v>
      </c>
      <c r="N337" s="8">
        <v>0</v>
      </c>
      <c r="P337" s="8">
        <v>0</v>
      </c>
    </row>
    <row r="338" spans="2:16" x14ac:dyDescent="0.25">
      <c r="D338" s="3" t="s">
        <v>14</v>
      </c>
      <c r="F338" s="7">
        <v>50103020</v>
      </c>
      <c r="H338" s="8">
        <v>73800</v>
      </c>
      <c r="J338" s="8">
        <v>73800</v>
      </c>
      <c r="L338" s="8">
        <v>73800</v>
      </c>
      <c r="N338" s="8">
        <v>0</v>
      </c>
      <c r="P338" s="8">
        <v>0</v>
      </c>
    </row>
    <row r="339" spans="2:16" x14ac:dyDescent="0.25">
      <c r="D339" s="3" t="s">
        <v>15</v>
      </c>
      <c r="F339" s="7">
        <v>50103030</v>
      </c>
      <c r="H339" s="8">
        <v>220471.39</v>
      </c>
      <c r="J339" s="8">
        <v>220471.39</v>
      </c>
      <c r="L339" s="8">
        <v>220471.39</v>
      </c>
      <c r="N339" s="8">
        <v>0</v>
      </c>
      <c r="P339" s="8">
        <v>0</v>
      </c>
    </row>
    <row r="340" spans="2:16" x14ac:dyDescent="0.25">
      <c r="D340" s="3" t="s">
        <v>165</v>
      </c>
      <c r="F340" s="7">
        <v>50103040</v>
      </c>
      <c r="H340" s="8">
        <v>73800</v>
      </c>
      <c r="J340" s="8">
        <v>73800</v>
      </c>
      <c r="L340" s="8">
        <v>73800</v>
      </c>
      <c r="N340" s="8">
        <v>0</v>
      </c>
      <c r="P340" s="8">
        <v>0</v>
      </c>
    </row>
    <row r="341" spans="2:16" x14ac:dyDescent="0.25">
      <c r="D341" s="3" t="s">
        <v>16</v>
      </c>
      <c r="F341" s="7">
        <v>50104990</v>
      </c>
      <c r="H341" s="8">
        <v>320000</v>
      </c>
      <c r="J341" s="8">
        <v>320000</v>
      </c>
      <c r="L341" s="8">
        <v>320000</v>
      </c>
      <c r="N341" s="8">
        <v>0</v>
      </c>
      <c r="P341" s="8">
        <v>0</v>
      </c>
    </row>
    <row r="342" spans="2:16" x14ac:dyDescent="0.25">
      <c r="B342" s="11" t="s">
        <v>166</v>
      </c>
      <c r="F342" s="7">
        <v>200</v>
      </c>
      <c r="H342" s="17">
        <f>SUM(H343:H350,H352,H363,H375,H379,H386,H391)</f>
        <v>19634100.91</v>
      </c>
      <c r="J342" s="17">
        <f>SUM(J343:J350,J352,J363,J375,J379,J386,J391)</f>
        <v>19623300.91</v>
      </c>
      <c r="L342" s="17">
        <f>SUM(L343:L350,L352,L363,L375,L379,L386,L391)</f>
        <v>19492411.770000003</v>
      </c>
      <c r="N342" s="17">
        <f>SUM(N343:N350,N352,N363,N375,N379,N386,N391)</f>
        <v>10800</v>
      </c>
      <c r="P342" s="17">
        <f>SUM(P343:P350,P352,P363,P375,P379,P386,P391)</f>
        <v>130889.14</v>
      </c>
    </row>
    <row r="343" spans="2:16" x14ac:dyDescent="0.25">
      <c r="D343" s="3" t="s">
        <v>760</v>
      </c>
      <c r="F343" s="7">
        <v>50201010</v>
      </c>
      <c r="H343" s="8">
        <v>918954.45</v>
      </c>
      <c r="J343" s="8">
        <v>918954.45</v>
      </c>
      <c r="L343" s="8">
        <v>918954.45</v>
      </c>
      <c r="N343" s="8">
        <v>0</v>
      </c>
      <c r="P343" s="8">
        <v>0</v>
      </c>
    </row>
    <row r="344" spans="2:16" x14ac:dyDescent="0.25">
      <c r="D344" s="3" t="s">
        <v>19</v>
      </c>
      <c r="F344" s="7">
        <v>50202010</v>
      </c>
      <c r="H344" s="8">
        <v>243580</v>
      </c>
      <c r="J344" s="8">
        <v>243580</v>
      </c>
      <c r="L344" s="8">
        <v>243580</v>
      </c>
      <c r="N344" s="8">
        <v>0</v>
      </c>
      <c r="P344" s="8">
        <v>0</v>
      </c>
    </row>
    <row r="345" spans="2:16" x14ac:dyDescent="0.25">
      <c r="D345" s="3" t="s">
        <v>736</v>
      </c>
      <c r="F345" s="7">
        <v>50204010</v>
      </c>
      <c r="H345" s="8">
        <v>157690</v>
      </c>
      <c r="J345" s="8">
        <v>157690</v>
      </c>
      <c r="L345" s="8">
        <v>48180</v>
      </c>
      <c r="N345" s="8">
        <v>0</v>
      </c>
      <c r="P345" s="8">
        <v>109510</v>
      </c>
    </row>
    <row r="346" spans="2:16" x14ac:dyDescent="0.25">
      <c r="D346" s="3" t="s">
        <v>63</v>
      </c>
      <c r="F346" s="7">
        <v>50204020</v>
      </c>
      <c r="H346" s="8">
        <v>8915825.25</v>
      </c>
      <c r="J346" s="8">
        <v>8915825.25</v>
      </c>
      <c r="L346" s="8">
        <v>8904296.8000000007</v>
      </c>
      <c r="N346" s="8">
        <v>0</v>
      </c>
      <c r="P346" s="8">
        <v>11528.45</v>
      </c>
    </row>
    <row r="347" spans="2:16" x14ac:dyDescent="0.25">
      <c r="D347" s="3" t="s">
        <v>22</v>
      </c>
      <c r="F347" s="7">
        <v>50205020</v>
      </c>
      <c r="H347" s="8">
        <v>254000</v>
      </c>
      <c r="J347" s="8">
        <v>254000</v>
      </c>
      <c r="L347" s="8">
        <v>254000</v>
      </c>
      <c r="N347" s="8">
        <v>0</v>
      </c>
      <c r="P347" s="8">
        <v>0</v>
      </c>
    </row>
    <row r="348" spans="2:16" x14ac:dyDescent="0.25">
      <c r="D348" s="3" t="s">
        <v>64</v>
      </c>
      <c r="F348" s="7">
        <v>50205030</v>
      </c>
      <c r="H348" s="8">
        <v>1098552</v>
      </c>
      <c r="J348" s="8">
        <v>1098552</v>
      </c>
      <c r="L348" s="8">
        <v>1098552</v>
      </c>
      <c r="N348" s="8">
        <v>0</v>
      </c>
      <c r="P348" s="8">
        <v>0</v>
      </c>
    </row>
    <row r="349" spans="2:16" x14ac:dyDescent="0.25">
      <c r="D349" s="3" t="s">
        <v>237</v>
      </c>
      <c r="F349" s="7">
        <v>50205040</v>
      </c>
      <c r="H349" s="8">
        <v>70578.33</v>
      </c>
      <c r="J349" s="8">
        <v>70578.33</v>
      </c>
      <c r="L349" s="8">
        <v>70578.33</v>
      </c>
      <c r="N349" s="8">
        <v>0</v>
      </c>
      <c r="P349" s="8">
        <v>0</v>
      </c>
    </row>
    <row r="350" spans="2:16" x14ac:dyDescent="0.25">
      <c r="D350" s="3" t="s">
        <v>27</v>
      </c>
      <c r="F350" s="7">
        <v>50213050</v>
      </c>
      <c r="H350" s="8">
        <v>439036.88</v>
      </c>
      <c r="J350" s="8">
        <v>439036.88</v>
      </c>
      <c r="L350" s="8">
        <v>439036.88</v>
      </c>
      <c r="N350" s="8">
        <v>0</v>
      </c>
      <c r="P350" s="8">
        <v>0</v>
      </c>
    </row>
    <row r="351" spans="2:16" x14ac:dyDescent="0.25">
      <c r="C351" s="11" t="s">
        <v>177</v>
      </c>
    </row>
    <row r="352" spans="2:16" x14ac:dyDescent="0.25">
      <c r="C352" s="11" t="s">
        <v>238</v>
      </c>
      <c r="H352" s="17">
        <f>SUM(H353:H362)</f>
        <v>2104435.5</v>
      </c>
      <c r="J352" s="17">
        <f>SUM(J353:J362)</f>
        <v>2104435.5</v>
      </c>
      <c r="L352" s="17">
        <f>SUM(L353:L362)</f>
        <v>2104412.5</v>
      </c>
      <c r="N352" s="17">
        <f>SUM(N353:N362)</f>
        <v>0</v>
      </c>
      <c r="P352" s="17">
        <f>SUM(P353:P362)</f>
        <v>23</v>
      </c>
    </row>
    <row r="353" spans="3:16" x14ac:dyDescent="0.25">
      <c r="D353" s="3" t="s">
        <v>760</v>
      </c>
      <c r="F353" s="7">
        <v>50201010</v>
      </c>
      <c r="H353" s="8">
        <v>124346.72</v>
      </c>
      <c r="J353" s="8">
        <v>124346.72</v>
      </c>
      <c r="L353" s="8">
        <v>124346.72</v>
      </c>
      <c r="N353" s="8">
        <v>0</v>
      </c>
      <c r="P353" s="8">
        <v>0</v>
      </c>
    </row>
    <row r="354" spans="3:16" x14ac:dyDescent="0.25">
      <c r="D354" s="3" t="s">
        <v>19</v>
      </c>
      <c r="F354" s="7">
        <v>50202010</v>
      </c>
      <c r="H354" s="8">
        <v>35885</v>
      </c>
      <c r="J354" s="8">
        <v>35885</v>
      </c>
      <c r="L354" s="8">
        <v>35885</v>
      </c>
      <c r="N354" s="8">
        <v>0</v>
      </c>
      <c r="P354" s="8">
        <v>0</v>
      </c>
    </row>
    <row r="355" spans="3:16" x14ac:dyDescent="0.25">
      <c r="D355" s="3" t="s">
        <v>36</v>
      </c>
      <c r="F355" s="7">
        <v>50203010</v>
      </c>
      <c r="H355" s="8">
        <v>69999</v>
      </c>
      <c r="J355" s="8">
        <v>69999</v>
      </c>
      <c r="L355" s="8">
        <v>69999</v>
      </c>
      <c r="N355" s="8">
        <v>0</v>
      </c>
      <c r="P355" s="8">
        <v>0</v>
      </c>
    </row>
    <row r="356" spans="3:16" x14ac:dyDescent="0.25">
      <c r="D356" s="3" t="s">
        <v>37</v>
      </c>
      <c r="F356" s="7">
        <v>50203990</v>
      </c>
      <c r="H356" s="8">
        <v>78500</v>
      </c>
      <c r="J356" s="8">
        <v>78500</v>
      </c>
      <c r="L356" s="8">
        <v>78500</v>
      </c>
      <c r="N356" s="8">
        <v>0</v>
      </c>
      <c r="P356" s="8">
        <v>0</v>
      </c>
    </row>
    <row r="357" spans="3:16" x14ac:dyDescent="0.25">
      <c r="D357" s="3" t="s">
        <v>25</v>
      </c>
      <c r="F357" s="7">
        <v>50211990</v>
      </c>
      <c r="H357" s="8">
        <v>11034.78</v>
      </c>
      <c r="J357" s="8">
        <v>11034.78</v>
      </c>
      <c r="L357" s="8">
        <v>11034.78</v>
      </c>
      <c r="N357" s="8">
        <v>0</v>
      </c>
      <c r="P357" s="8">
        <v>0</v>
      </c>
    </row>
    <row r="358" spans="3:16" x14ac:dyDescent="0.25">
      <c r="D358" s="3" t="s">
        <v>41</v>
      </c>
      <c r="F358" s="7">
        <v>50299010</v>
      </c>
      <c r="H358" s="8">
        <v>300000</v>
      </c>
      <c r="J358" s="8">
        <v>300000</v>
      </c>
      <c r="L358" s="8">
        <v>300000</v>
      </c>
      <c r="N358" s="8">
        <v>0</v>
      </c>
      <c r="P358" s="8">
        <v>0</v>
      </c>
    </row>
    <row r="359" spans="3:16" ht="13.5" customHeight="1" x14ac:dyDescent="0.25">
      <c r="D359" s="3" t="s">
        <v>91</v>
      </c>
      <c r="F359" s="7">
        <v>50299020</v>
      </c>
      <c r="H359" s="8">
        <v>965670</v>
      </c>
      <c r="J359" s="8">
        <v>965670</v>
      </c>
      <c r="L359" s="8">
        <v>965647</v>
      </c>
      <c r="N359" s="8">
        <v>0</v>
      </c>
      <c r="P359" s="8">
        <v>23</v>
      </c>
    </row>
    <row r="360" spans="3:16" x14ac:dyDescent="0.25">
      <c r="D360" s="3" t="s">
        <v>38</v>
      </c>
      <c r="F360" s="7">
        <v>50299030</v>
      </c>
      <c r="H360" s="8">
        <v>160000</v>
      </c>
      <c r="J360" s="8">
        <v>160000</v>
      </c>
      <c r="L360" s="8">
        <v>160000</v>
      </c>
      <c r="N360" s="8">
        <v>0</v>
      </c>
      <c r="P360" s="8">
        <v>0</v>
      </c>
    </row>
    <row r="361" spans="3:16" x14ac:dyDescent="0.25">
      <c r="D361" s="3" t="s">
        <v>42</v>
      </c>
      <c r="F361" s="7">
        <v>50299050</v>
      </c>
      <c r="H361" s="8">
        <v>249000</v>
      </c>
      <c r="J361" s="8">
        <v>249000</v>
      </c>
      <c r="L361" s="8">
        <v>249000</v>
      </c>
      <c r="N361" s="8">
        <v>0</v>
      </c>
      <c r="P361" s="8">
        <v>0</v>
      </c>
    </row>
    <row r="362" spans="3:16" x14ac:dyDescent="0.25">
      <c r="D362" s="3" t="s">
        <v>55</v>
      </c>
      <c r="F362" s="7">
        <v>50299070</v>
      </c>
      <c r="H362" s="8">
        <v>110000</v>
      </c>
      <c r="J362" s="8">
        <v>110000</v>
      </c>
      <c r="L362" s="8">
        <v>110000</v>
      </c>
      <c r="N362" s="8">
        <v>0</v>
      </c>
      <c r="P362" s="8">
        <v>0</v>
      </c>
    </row>
    <row r="363" spans="3:16" x14ac:dyDescent="0.25">
      <c r="C363" s="11" t="s">
        <v>792</v>
      </c>
      <c r="H363" s="17">
        <f>SUM(H364:H374)</f>
        <v>958610.5</v>
      </c>
      <c r="J363" s="17">
        <f>SUM(J364:J374)</f>
        <v>948610.5</v>
      </c>
      <c r="L363" s="17">
        <f>SUM(L364:L374)</f>
        <v>944529.31</v>
      </c>
      <c r="N363" s="17">
        <f>SUM(N364:N374)</f>
        <v>10000</v>
      </c>
      <c r="P363" s="17">
        <f>SUM(P364:P374)</f>
        <v>4081.19</v>
      </c>
    </row>
    <row r="364" spans="3:16" x14ac:dyDescent="0.25">
      <c r="D364" s="3" t="s">
        <v>760</v>
      </c>
      <c r="F364" s="7">
        <v>50201010</v>
      </c>
      <c r="H364" s="8">
        <v>70000</v>
      </c>
      <c r="J364" s="8">
        <v>70000</v>
      </c>
      <c r="L364" s="8">
        <v>70000</v>
      </c>
      <c r="N364" s="8">
        <v>0</v>
      </c>
      <c r="P364" s="8">
        <v>0</v>
      </c>
    </row>
    <row r="365" spans="3:16" x14ac:dyDescent="0.25">
      <c r="D365" s="3" t="s">
        <v>19</v>
      </c>
      <c r="F365" s="7">
        <v>50202010</v>
      </c>
      <c r="H365" s="8">
        <v>77528</v>
      </c>
      <c r="J365" s="8">
        <v>77528</v>
      </c>
      <c r="L365" s="8">
        <v>77528</v>
      </c>
      <c r="N365" s="8">
        <v>0</v>
      </c>
      <c r="P365" s="8">
        <v>0</v>
      </c>
    </row>
    <row r="366" spans="3:16" x14ac:dyDescent="0.25">
      <c r="D366" s="3" t="s">
        <v>36</v>
      </c>
      <c r="F366" s="7">
        <v>50203010</v>
      </c>
      <c r="H366" s="8">
        <v>66366</v>
      </c>
      <c r="J366" s="8">
        <v>66366</v>
      </c>
      <c r="L366" s="8">
        <v>66366</v>
      </c>
      <c r="N366" s="8">
        <v>0</v>
      </c>
      <c r="P366" s="8">
        <v>0</v>
      </c>
    </row>
    <row r="367" spans="3:16" x14ac:dyDescent="0.25">
      <c r="D367" s="3" t="s">
        <v>37</v>
      </c>
      <c r="F367" s="7">
        <v>50203990</v>
      </c>
      <c r="H367" s="8">
        <v>148601</v>
      </c>
      <c r="J367" s="8">
        <v>138601</v>
      </c>
      <c r="L367" s="8">
        <v>138601</v>
      </c>
      <c r="N367" s="8">
        <v>10000</v>
      </c>
      <c r="P367" s="8">
        <v>0</v>
      </c>
    </row>
    <row r="368" spans="3:16" x14ac:dyDescent="0.25">
      <c r="D368" s="3" t="s">
        <v>21</v>
      </c>
      <c r="F368" s="7">
        <v>50204010</v>
      </c>
      <c r="H368" s="8">
        <v>5000</v>
      </c>
      <c r="J368" s="8">
        <v>5000</v>
      </c>
      <c r="L368" s="8">
        <v>1320</v>
      </c>
      <c r="N368" s="8">
        <v>0</v>
      </c>
      <c r="P368" s="8">
        <v>3680</v>
      </c>
    </row>
    <row r="369" spans="3:16" x14ac:dyDescent="0.25">
      <c r="D369" s="3" t="s">
        <v>40</v>
      </c>
      <c r="F369" s="7">
        <v>50206020</v>
      </c>
      <c r="H369" s="8">
        <v>131000</v>
      </c>
      <c r="J369" s="8">
        <v>131000</v>
      </c>
      <c r="L369" s="8">
        <v>131000</v>
      </c>
      <c r="N369" s="8">
        <v>0</v>
      </c>
      <c r="P369" s="8">
        <v>0</v>
      </c>
    </row>
    <row r="370" spans="3:16" x14ac:dyDescent="0.25">
      <c r="D370" s="3" t="s">
        <v>25</v>
      </c>
      <c r="F370" s="7">
        <v>50211990</v>
      </c>
      <c r="H370" s="8">
        <v>50000</v>
      </c>
      <c r="J370" s="8">
        <v>50000</v>
      </c>
      <c r="L370" s="8">
        <v>50000</v>
      </c>
      <c r="N370" s="8">
        <v>0</v>
      </c>
      <c r="P370" s="8">
        <v>0</v>
      </c>
    </row>
    <row r="371" spans="3:16" x14ac:dyDescent="0.25">
      <c r="D371" s="3" t="s">
        <v>26</v>
      </c>
      <c r="F371" s="7">
        <v>50212990</v>
      </c>
      <c r="H371" s="8">
        <v>30000</v>
      </c>
      <c r="J371" s="8">
        <v>30000</v>
      </c>
      <c r="L371" s="8">
        <v>29598.81</v>
      </c>
      <c r="N371" s="8">
        <v>0</v>
      </c>
      <c r="P371" s="8">
        <v>401.19</v>
      </c>
    </row>
    <row r="372" spans="3:16" x14ac:dyDescent="0.25">
      <c r="D372" s="3" t="s">
        <v>91</v>
      </c>
      <c r="F372" s="7">
        <v>50299020</v>
      </c>
      <c r="H372" s="8">
        <v>13615.5</v>
      </c>
      <c r="J372" s="8">
        <v>13615.5</v>
      </c>
      <c r="L372" s="8">
        <v>13615.5</v>
      </c>
      <c r="N372" s="8">
        <v>0</v>
      </c>
      <c r="P372" s="8">
        <v>0</v>
      </c>
    </row>
    <row r="373" spans="3:16" x14ac:dyDescent="0.25">
      <c r="D373" s="3" t="s">
        <v>38</v>
      </c>
      <c r="F373" s="7">
        <v>50299030</v>
      </c>
      <c r="H373" s="8">
        <v>250000</v>
      </c>
      <c r="J373" s="8">
        <v>250000</v>
      </c>
      <c r="L373" s="8">
        <v>250000</v>
      </c>
      <c r="N373" s="8">
        <v>0</v>
      </c>
      <c r="P373" s="8">
        <v>0</v>
      </c>
    </row>
    <row r="374" spans="3:16" x14ac:dyDescent="0.25">
      <c r="D374" s="3" t="s">
        <v>43</v>
      </c>
      <c r="F374" s="7">
        <v>50299080</v>
      </c>
      <c r="H374" s="8">
        <v>116500</v>
      </c>
      <c r="J374" s="8">
        <v>116500</v>
      </c>
      <c r="L374" s="8">
        <v>116500</v>
      </c>
      <c r="N374" s="8">
        <v>0</v>
      </c>
      <c r="P374" s="8">
        <v>0</v>
      </c>
    </row>
    <row r="375" spans="3:16" x14ac:dyDescent="0.25">
      <c r="C375" s="11" t="s">
        <v>752</v>
      </c>
      <c r="H375" s="17">
        <f>SUM(H376:H378)</f>
        <v>2129152</v>
      </c>
      <c r="J375" s="17">
        <f>SUM(J376:J378)</f>
        <v>2128352</v>
      </c>
      <c r="L375" s="17">
        <f>SUM(L376:L378)</f>
        <v>2128352</v>
      </c>
      <c r="N375" s="17">
        <f>SUM(N376:N378)</f>
        <v>800</v>
      </c>
      <c r="P375" s="17">
        <f>SUM(P376:P378)</f>
        <v>0</v>
      </c>
    </row>
    <row r="376" spans="3:16" x14ac:dyDescent="0.25">
      <c r="D376" s="3" t="s">
        <v>40</v>
      </c>
      <c r="F376" s="7">
        <v>50206020</v>
      </c>
      <c r="H376" s="8">
        <v>208200</v>
      </c>
      <c r="J376" s="8">
        <v>207400</v>
      </c>
      <c r="L376" s="8">
        <v>207400</v>
      </c>
      <c r="N376" s="8">
        <f>+H376-J376</f>
        <v>800</v>
      </c>
      <c r="P376" s="8">
        <f>+J376-L376</f>
        <v>0</v>
      </c>
    </row>
    <row r="377" spans="3:16" x14ac:dyDescent="0.25">
      <c r="D377" s="3" t="s">
        <v>25</v>
      </c>
      <c r="F377" s="7">
        <v>50211990</v>
      </c>
      <c r="H377" s="8">
        <v>1824952</v>
      </c>
      <c r="J377" s="8">
        <v>1824952</v>
      </c>
      <c r="L377" s="8">
        <v>1824952</v>
      </c>
      <c r="N377" s="8">
        <v>0</v>
      </c>
      <c r="P377" s="8">
        <v>0</v>
      </c>
    </row>
    <row r="378" spans="3:16" x14ac:dyDescent="0.25">
      <c r="D378" s="3" t="s">
        <v>735</v>
      </c>
      <c r="F378" s="7">
        <v>50299030</v>
      </c>
      <c r="H378" s="8">
        <v>96000</v>
      </c>
      <c r="J378" s="8">
        <v>96000</v>
      </c>
      <c r="L378" s="8">
        <v>96000</v>
      </c>
      <c r="N378" s="8">
        <v>0</v>
      </c>
      <c r="P378" s="8">
        <v>0</v>
      </c>
    </row>
    <row r="379" spans="3:16" x14ac:dyDescent="0.25">
      <c r="C379" s="11" t="s">
        <v>791</v>
      </c>
      <c r="H379" s="17">
        <f>SUM(H380:H385)</f>
        <v>721106</v>
      </c>
      <c r="J379" s="17">
        <f>SUM(J380:J385)</f>
        <v>721106</v>
      </c>
      <c r="L379" s="17">
        <f>SUM(L380:L385)</f>
        <v>721106</v>
      </c>
      <c r="N379" s="17">
        <f>SUM(N380:N385)</f>
        <v>0</v>
      </c>
      <c r="P379" s="17">
        <f>SUM(P380:P385)</f>
        <v>0</v>
      </c>
    </row>
    <row r="380" spans="3:16" x14ac:dyDescent="0.25">
      <c r="D380" s="3" t="s">
        <v>760</v>
      </c>
      <c r="F380" s="7">
        <v>50201010</v>
      </c>
      <c r="H380" s="8">
        <v>16080</v>
      </c>
      <c r="J380" s="8">
        <v>16080</v>
      </c>
      <c r="L380" s="8">
        <v>16080</v>
      </c>
      <c r="N380" s="8">
        <v>0</v>
      </c>
      <c r="P380" s="8">
        <v>0</v>
      </c>
    </row>
    <row r="381" spans="3:16" x14ac:dyDescent="0.25">
      <c r="D381" s="3" t="s">
        <v>19</v>
      </c>
      <c r="F381" s="7">
        <v>50202010</v>
      </c>
      <c r="H381" s="8">
        <v>236709</v>
      </c>
      <c r="J381" s="8">
        <v>236709</v>
      </c>
      <c r="L381" s="8">
        <v>236709</v>
      </c>
      <c r="N381" s="8">
        <v>0</v>
      </c>
      <c r="P381" s="8">
        <v>0</v>
      </c>
    </row>
    <row r="382" spans="3:16" x14ac:dyDescent="0.25">
      <c r="D382" s="3" t="s">
        <v>36</v>
      </c>
      <c r="F382" s="7">
        <v>50203010</v>
      </c>
      <c r="H382" s="8">
        <v>44417</v>
      </c>
      <c r="J382" s="8">
        <v>44417</v>
      </c>
      <c r="L382" s="8">
        <v>44417</v>
      </c>
      <c r="N382" s="8">
        <v>0</v>
      </c>
      <c r="P382" s="8">
        <v>0</v>
      </c>
    </row>
    <row r="383" spans="3:16" x14ac:dyDescent="0.25">
      <c r="D383" s="3" t="s">
        <v>737</v>
      </c>
      <c r="F383" s="7">
        <v>50206020</v>
      </c>
      <c r="H383" s="8">
        <v>115000</v>
      </c>
      <c r="J383" s="8">
        <v>115000</v>
      </c>
      <c r="L383" s="8">
        <v>115000</v>
      </c>
      <c r="N383" s="8">
        <v>0</v>
      </c>
      <c r="P383" s="8">
        <v>0</v>
      </c>
    </row>
    <row r="384" spans="3:16" x14ac:dyDescent="0.25">
      <c r="D384" s="3" t="s">
        <v>25</v>
      </c>
      <c r="F384" s="7">
        <v>50211990</v>
      </c>
      <c r="H384" s="8">
        <v>34200</v>
      </c>
      <c r="J384" s="8">
        <v>34200</v>
      </c>
      <c r="L384" s="8">
        <v>34200</v>
      </c>
      <c r="N384" s="8">
        <v>0</v>
      </c>
      <c r="P384" s="8">
        <v>0</v>
      </c>
    </row>
    <row r="385" spans="3:16" x14ac:dyDescent="0.25">
      <c r="D385" s="3" t="s">
        <v>38</v>
      </c>
      <c r="F385" s="7">
        <v>50299030</v>
      </c>
      <c r="H385" s="8">
        <v>274700</v>
      </c>
      <c r="J385" s="8">
        <v>274700</v>
      </c>
      <c r="L385" s="8">
        <v>274700</v>
      </c>
      <c r="N385" s="8">
        <v>0</v>
      </c>
      <c r="P385" s="8">
        <v>0</v>
      </c>
    </row>
    <row r="386" spans="3:16" x14ac:dyDescent="0.25">
      <c r="C386" s="11" t="s">
        <v>795</v>
      </c>
      <c r="H386" s="17">
        <f>SUM(H387:H389)</f>
        <v>437138</v>
      </c>
      <c r="J386" s="17">
        <f>SUM(J387:J389)</f>
        <v>437138</v>
      </c>
      <c r="L386" s="17">
        <f>SUM(L387:L389)</f>
        <v>437138</v>
      </c>
      <c r="N386" s="17">
        <f>SUM(N387:N389)</f>
        <v>0</v>
      </c>
      <c r="P386" s="17">
        <f>SUM(P387:P389)</f>
        <v>0</v>
      </c>
    </row>
    <row r="387" spans="3:16" x14ac:dyDescent="0.25">
      <c r="D387" s="3" t="s">
        <v>19</v>
      </c>
      <c r="F387" s="7">
        <v>50202010</v>
      </c>
      <c r="H387" s="8">
        <v>332205</v>
      </c>
      <c r="J387" s="8">
        <v>332205</v>
      </c>
      <c r="L387" s="8">
        <v>332205</v>
      </c>
      <c r="N387" s="8">
        <v>0</v>
      </c>
      <c r="P387" s="8">
        <v>0</v>
      </c>
    </row>
    <row r="388" spans="3:16" x14ac:dyDescent="0.25">
      <c r="D388" s="3" t="s">
        <v>36</v>
      </c>
      <c r="F388" s="7">
        <v>50203010</v>
      </c>
      <c r="H388" s="8">
        <v>29933</v>
      </c>
      <c r="J388" s="8">
        <v>29933</v>
      </c>
      <c r="L388" s="8">
        <v>29933</v>
      </c>
      <c r="N388" s="8">
        <v>0</v>
      </c>
      <c r="P388" s="8">
        <v>0</v>
      </c>
    </row>
    <row r="389" spans="3:16" x14ac:dyDescent="0.25">
      <c r="D389" s="3" t="s">
        <v>735</v>
      </c>
      <c r="F389" s="7">
        <v>50299030</v>
      </c>
      <c r="H389" s="8">
        <v>75000</v>
      </c>
      <c r="J389" s="8">
        <v>75000</v>
      </c>
      <c r="L389" s="8">
        <v>75000</v>
      </c>
      <c r="N389" s="8">
        <v>0</v>
      </c>
      <c r="P389" s="8">
        <v>0</v>
      </c>
    </row>
    <row r="390" spans="3:16" x14ac:dyDescent="0.25">
      <c r="C390" s="11" t="s">
        <v>793</v>
      </c>
    </row>
    <row r="391" spans="3:16" x14ac:dyDescent="0.25">
      <c r="C391" s="11" t="s">
        <v>794</v>
      </c>
      <c r="H391" s="17">
        <f>SUM(H392:H400)</f>
        <v>1185442</v>
      </c>
      <c r="J391" s="17">
        <f>SUM(J392:J400)</f>
        <v>1185442</v>
      </c>
      <c r="L391" s="17">
        <f>SUM(L392:L400)</f>
        <v>1179695.5</v>
      </c>
      <c r="N391" s="17">
        <f>SUM(N392:N400)</f>
        <v>0</v>
      </c>
      <c r="P391" s="17">
        <f>SUM(P392:P400)</f>
        <v>5746.5</v>
      </c>
    </row>
    <row r="392" spans="3:16" x14ac:dyDescent="0.25">
      <c r="D392" s="3" t="s">
        <v>760</v>
      </c>
      <c r="F392" s="7">
        <v>50201010</v>
      </c>
      <c r="H392" s="8">
        <v>99752</v>
      </c>
      <c r="J392" s="8">
        <v>99752</v>
      </c>
      <c r="L392" s="8">
        <v>99752</v>
      </c>
      <c r="N392" s="8">
        <v>0</v>
      </c>
      <c r="P392" s="8">
        <v>0</v>
      </c>
    </row>
    <row r="393" spans="3:16" x14ac:dyDescent="0.25">
      <c r="D393" s="3" t="s">
        <v>19</v>
      </c>
      <c r="F393" s="7">
        <v>50202010</v>
      </c>
      <c r="H393" s="8">
        <v>144020</v>
      </c>
      <c r="J393" s="8">
        <v>144020</v>
      </c>
      <c r="L393" s="8">
        <v>144020</v>
      </c>
      <c r="N393" s="8">
        <v>0</v>
      </c>
      <c r="P393" s="8">
        <v>0</v>
      </c>
    </row>
    <row r="394" spans="3:16" x14ac:dyDescent="0.25">
      <c r="D394" s="3" t="s">
        <v>36</v>
      </c>
      <c r="F394" s="7">
        <v>50203010</v>
      </c>
      <c r="H394" s="8">
        <v>99071</v>
      </c>
      <c r="J394" s="8">
        <v>99071</v>
      </c>
      <c r="L394" s="8">
        <v>99071</v>
      </c>
      <c r="N394" s="8">
        <v>0</v>
      </c>
      <c r="P394" s="8">
        <v>0</v>
      </c>
    </row>
    <row r="395" spans="3:16" x14ac:dyDescent="0.25">
      <c r="D395" s="3" t="s">
        <v>37</v>
      </c>
      <c r="F395" s="7">
        <v>50203990</v>
      </c>
      <c r="H395" s="8">
        <v>228599</v>
      </c>
      <c r="J395" s="8">
        <v>228599</v>
      </c>
      <c r="L395" s="8">
        <v>228599</v>
      </c>
      <c r="N395" s="8">
        <v>0</v>
      </c>
      <c r="P395" s="8">
        <v>0</v>
      </c>
    </row>
    <row r="396" spans="3:16" x14ac:dyDescent="0.25">
      <c r="D396" s="3" t="s">
        <v>21</v>
      </c>
      <c r="F396" s="7">
        <v>50204010</v>
      </c>
      <c r="H396" s="8">
        <v>5000</v>
      </c>
      <c r="J396" s="8">
        <v>5000</v>
      </c>
      <c r="L396" s="8">
        <v>3564</v>
      </c>
      <c r="N396" s="8">
        <v>0</v>
      </c>
      <c r="P396" s="8">
        <v>1436</v>
      </c>
    </row>
    <row r="397" spans="3:16" x14ac:dyDescent="0.25">
      <c r="D397" s="3" t="s">
        <v>25</v>
      </c>
      <c r="F397" s="7">
        <v>50211990</v>
      </c>
      <c r="H397" s="8">
        <v>119000</v>
      </c>
      <c r="J397" s="8">
        <v>119000</v>
      </c>
      <c r="L397" s="8">
        <v>119000</v>
      </c>
      <c r="N397" s="8">
        <v>0</v>
      </c>
      <c r="P397" s="8">
        <v>0</v>
      </c>
    </row>
    <row r="398" spans="3:16" x14ac:dyDescent="0.25">
      <c r="D398" s="3" t="s">
        <v>522</v>
      </c>
      <c r="F398" s="7">
        <v>50212990</v>
      </c>
      <c r="H398" s="8">
        <v>20000</v>
      </c>
      <c r="J398" s="8">
        <v>20000</v>
      </c>
      <c r="L398" s="8">
        <v>15689.5</v>
      </c>
      <c r="N398" s="8">
        <v>0</v>
      </c>
      <c r="P398" s="8">
        <v>4310.5</v>
      </c>
    </row>
    <row r="399" spans="3:16" x14ac:dyDescent="0.25">
      <c r="D399" s="3" t="s">
        <v>91</v>
      </c>
      <c r="F399" s="7">
        <v>50299020</v>
      </c>
      <c r="H399" s="8">
        <v>200000</v>
      </c>
      <c r="J399" s="8">
        <v>200000</v>
      </c>
      <c r="L399" s="8">
        <v>200000</v>
      </c>
      <c r="N399" s="8">
        <v>0</v>
      </c>
      <c r="P399" s="8">
        <v>0</v>
      </c>
    </row>
    <row r="400" spans="3:16" x14ac:dyDescent="0.25">
      <c r="D400" s="3" t="s">
        <v>38</v>
      </c>
      <c r="F400" s="7">
        <v>50299030</v>
      </c>
      <c r="H400" s="8">
        <v>270000</v>
      </c>
      <c r="J400" s="8">
        <v>270000</v>
      </c>
      <c r="L400" s="8">
        <v>270000</v>
      </c>
      <c r="N400" s="8">
        <v>0</v>
      </c>
      <c r="P400" s="8">
        <v>0</v>
      </c>
    </row>
    <row r="402" spans="2:16" x14ac:dyDescent="0.25">
      <c r="B402" s="11" t="s">
        <v>208</v>
      </c>
      <c r="F402" s="7">
        <v>300</v>
      </c>
      <c r="H402" s="17">
        <f>SUM(H404:H405)</f>
        <v>490500</v>
      </c>
      <c r="J402" s="17">
        <f>SUM(J404:J405)</f>
        <v>490500</v>
      </c>
      <c r="L402" s="17">
        <f>SUM(L404:L405)</f>
        <v>28800</v>
      </c>
      <c r="N402" s="17">
        <f>SUM(N404:N405)</f>
        <v>0</v>
      </c>
      <c r="P402" s="17">
        <f>SUM(P404:P405)</f>
        <v>461700</v>
      </c>
    </row>
    <row r="403" spans="2:16" x14ac:dyDescent="0.25">
      <c r="B403" s="11"/>
      <c r="C403" s="3" t="s">
        <v>127</v>
      </c>
    </row>
    <row r="404" spans="2:16" x14ac:dyDescent="0.25">
      <c r="D404" s="3" t="s">
        <v>730</v>
      </c>
      <c r="F404" s="7">
        <v>10705020</v>
      </c>
      <c r="H404" s="8">
        <v>30000</v>
      </c>
      <c r="J404" s="8">
        <v>30000</v>
      </c>
      <c r="L404" s="8">
        <v>28800</v>
      </c>
      <c r="N404" s="8">
        <v>0</v>
      </c>
      <c r="P404" s="8">
        <v>1200</v>
      </c>
    </row>
    <row r="405" spans="2:16" x14ac:dyDescent="0.25">
      <c r="C405" s="3" t="s">
        <v>260</v>
      </c>
      <c r="F405" s="7">
        <v>10705030</v>
      </c>
      <c r="H405" s="8">
        <v>460500</v>
      </c>
      <c r="J405" s="8">
        <v>460500</v>
      </c>
      <c r="L405" s="8">
        <v>0</v>
      </c>
      <c r="N405" s="8">
        <v>0</v>
      </c>
      <c r="P405" s="8">
        <v>460500</v>
      </c>
    </row>
    <row r="407" spans="2:16" x14ac:dyDescent="0.25">
      <c r="C407" s="11" t="s">
        <v>239</v>
      </c>
      <c r="H407" s="17">
        <f>+H402+H342+H327</f>
        <v>49345320.200000003</v>
      </c>
      <c r="I407" s="8" t="s">
        <v>0</v>
      </c>
      <c r="J407" s="17">
        <f>+J402+J342+J327</f>
        <v>49334520.200000003</v>
      </c>
      <c r="K407" s="8" t="s">
        <v>0</v>
      </c>
      <c r="L407" s="17">
        <f>+L402+L342+L327</f>
        <v>48741378.130000003</v>
      </c>
      <c r="M407" s="8" t="s">
        <v>0</v>
      </c>
      <c r="N407" s="17">
        <f>+N402+N342+N327</f>
        <v>10800</v>
      </c>
      <c r="O407" s="8" t="s">
        <v>0</v>
      </c>
      <c r="P407" s="17">
        <f>+P402+P342+P327</f>
        <v>593142.07000000007</v>
      </c>
    </row>
    <row r="409" spans="2:16" x14ac:dyDescent="0.25">
      <c r="B409" s="11" t="s">
        <v>240</v>
      </c>
      <c r="F409" s="7">
        <v>1032</v>
      </c>
    </row>
    <row r="410" spans="2:16" x14ac:dyDescent="0.25">
      <c r="B410" s="11" t="s">
        <v>160</v>
      </c>
      <c r="F410" s="7">
        <v>100</v>
      </c>
      <c r="H410" s="17">
        <f>SUM(H411:H422)</f>
        <v>7474622.9000000004</v>
      </c>
      <c r="J410" s="17">
        <f>SUM(J411:J422)</f>
        <v>7474622.9000000004</v>
      </c>
      <c r="L410" s="17">
        <f>SUM(L411:L422)</f>
        <v>7474622.9000000004</v>
      </c>
      <c r="N410" s="17">
        <f>SUM(N411:N422)</f>
        <v>0</v>
      </c>
      <c r="P410" s="17">
        <f>SUM(P411:P422)</f>
        <v>0</v>
      </c>
    </row>
    <row r="411" spans="2:16" x14ac:dyDescent="0.25">
      <c r="D411" s="3" t="s">
        <v>8</v>
      </c>
      <c r="F411" s="7">
        <v>50101010</v>
      </c>
      <c r="H411" s="8">
        <v>5335889.54</v>
      </c>
      <c r="J411" s="8">
        <v>5335889.54</v>
      </c>
      <c r="L411" s="8">
        <v>5335889.54</v>
      </c>
      <c r="N411" s="8">
        <v>0</v>
      </c>
      <c r="P411" s="8">
        <v>0</v>
      </c>
    </row>
    <row r="412" spans="2:16" x14ac:dyDescent="0.25">
      <c r="D412" s="3" t="s">
        <v>162</v>
      </c>
      <c r="F412" s="7">
        <v>50102010</v>
      </c>
      <c r="H412" s="8">
        <v>244866.67</v>
      </c>
      <c r="J412" s="8">
        <v>244866.67</v>
      </c>
      <c r="L412" s="8">
        <v>244866.67</v>
      </c>
      <c r="N412" s="8">
        <v>0</v>
      </c>
      <c r="P412" s="8">
        <v>0</v>
      </c>
    </row>
    <row r="413" spans="2:16" x14ac:dyDescent="0.25">
      <c r="D413" s="3" t="s">
        <v>776</v>
      </c>
      <c r="F413" s="7">
        <v>50102020</v>
      </c>
      <c r="H413" s="8">
        <v>102000</v>
      </c>
      <c r="J413" s="8">
        <v>102000</v>
      </c>
      <c r="L413" s="8">
        <v>102000</v>
      </c>
      <c r="N413" s="8">
        <v>0</v>
      </c>
      <c r="P413" s="8">
        <v>0</v>
      </c>
    </row>
    <row r="414" spans="2:16" x14ac:dyDescent="0.25">
      <c r="D414" s="3" t="s">
        <v>11</v>
      </c>
      <c r="F414" s="7">
        <v>50102040</v>
      </c>
      <c r="H414" s="8">
        <v>50000</v>
      </c>
      <c r="J414" s="8">
        <v>50000</v>
      </c>
      <c r="L414" s="8">
        <v>50000</v>
      </c>
      <c r="N414" s="8">
        <v>0</v>
      </c>
      <c r="P414" s="8">
        <v>0</v>
      </c>
    </row>
    <row r="415" spans="2:16" x14ac:dyDescent="0.25">
      <c r="D415" s="3" t="s">
        <v>61</v>
      </c>
      <c r="F415" s="7">
        <v>50102120</v>
      </c>
      <c r="H415" s="8">
        <v>5000</v>
      </c>
      <c r="J415" s="8">
        <v>5000</v>
      </c>
      <c r="L415" s="8">
        <v>5000</v>
      </c>
      <c r="N415" s="8">
        <v>0</v>
      </c>
      <c r="P415" s="8">
        <v>0</v>
      </c>
    </row>
    <row r="416" spans="2:16" x14ac:dyDescent="0.25">
      <c r="D416" s="3" t="s">
        <v>12</v>
      </c>
      <c r="F416" s="7">
        <v>50102140</v>
      </c>
      <c r="H416" s="8">
        <v>920876</v>
      </c>
      <c r="J416" s="8">
        <v>920876</v>
      </c>
      <c r="L416" s="8">
        <v>920876</v>
      </c>
      <c r="N416" s="8">
        <v>0</v>
      </c>
      <c r="P416" s="8">
        <v>0</v>
      </c>
    </row>
    <row r="417" spans="2:16" x14ac:dyDescent="0.25">
      <c r="D417" s="3" t="s">
        <v>13</v>
      </c>
      <c r="F417" s="7">
        <v>50102150</v>
      </c>
      <c r="H417" s="8">
        <v>50000</v>
      </c>
      <c r="J417" s="8">
        <v>50000</v>
      </c>
      <c r="L417" s="8">
        <v>50000</v>
      </c>
      <c r="N417" s="8">
        <v>0</v>
      </c>
      <c r="P417" s="8">
        <v>0</v>
      </c>
    </row>
    <row r="418" spans="2:16" x14ac:dyDescent="0.25">
      <c r="D418" s="3" t="s">
        <v>164</v>
      </c>
      <c r="F418" s="7">
        <v>50103010</v>
      </c>
      <c r="H418" s="8">
        <v>641209.28</v>
      </c>
      <c r="J418" s="8">
        <v>641209.28</v>
      </c>
      <c r="L418" s="8">
        <v>641209.28</v>
      </c>
      <c r="N418" s="8">
        <v>0</v>
      </c>
      <c r="P418" s="8">
        <v>0</v>
      </c>
    </row>
    <row r="419" spans="2:16" x14ac:dyDescent="0.25">
      <c r="D419" s="3" t="s">
        <v>14</v>
      </c>
      <c r="F419" s="7">
        <v>50103020</v>
      </c>
      <c r="H419" s="8">
        <v>12100</v>
      </c>
      <c r="J419" s="8">
        <v>12100</v>
      </c>
      <c r="L419" s="8">
        <v>12100</v>
      </c>
      <c r="N419" s="8">
        <v>0</v>
      </c>
      <c r="P419" s="8">
        <v>0</v>
      </c>
    </row>
    <row r="420" spans="2:16" x14ac:dyDescent="0.25">
      <c r="D420" s="3" t="s">
        <v>15</v>
      </c>
      <c r="F420" s="7">
        <v>50103030</v>
      </c>
      <c r="H420" s="8">
        <v>50500</v>
      </c>
      <c r="J420" s="8">
        <v>50500</v>
      </c>
      <c r="L420" s="8">
        <v>50500</v>
      </c>
      <c r="N420" s="8">
        <v>0</v>
      </c>
      <c r="P420" s="8">
        <v>0</v>
      </c>
    </row>
    <row r="421" spans="2:16" x14ac:dyDescent="0.25">
      <c r="D421" s="3" t="s">
        <v>165</v>
      </c>
      <c r="F421" s="7">
        <v>50103040</v>
      </c>
      <c r="H421" s="8">
        <v>12181.41</v>
      </c>
      <c r="J421" s="8">
        <v>12181.41</v>
      </c>
      <c r="L421" s="8">
        <v>12181.41</v>
      </c>
      <c r="N421" s="8">
        <v>0</v>
      </c>
      <c r="P421" s="8">
        <v>0</v>
      </c>
    </row>
    <row r="422" spans="2:16" x14ac:dyDescent="0.25">
      <c r="D422" s="3" t="s">
        <v>16</v>
      </c>
      <c r="F422" s="7">
        <v>50104990</v>
      </c>
      <c r="H422" s="8">
        <v>50000</v>
      </c>
      <c r="J422" s="8">
        <v>50000</v>
      </c>
      <c r="L422" s="8">
        <v>50000</v>
      </c>
      <c r="N422" s="8">
        <v>0</v>
      </c>
      <c r="P422" s="8">
        <v>0</v>
      </c>
    </row>
    <row r="423" spans="2:16" x14ac:dyDescent="0.25">
      <c r="B423" s="11" t="s">
        <v>166</v>
      </c>
      <c r="F423" s="7">
        <v>200</v>
      </c>
      <c r="H423" s="17">
        <f>SUM(H424:H428,H430,H437,H444,H451)</f>
        <v>4867256.1100000003</v>
      </c>
      <c r="J423" s="17">
        <f>SUM(J424:J428,J430,J437,J444,J451)</f>
        <v>4867256.1100000003</v>
      </c>
      <c r="L423" s="17">
        <f>SUM(L424:L428,L430,L437,L444,L451)</f>
        <v>4861496.1100000003</v>
      </c>
      <c r="N423" s="17">
        <f>SUM(N424:N428,N430,N437,N444,N451)</f>
        <v>0</v>
      </c>
      <c r="P423" s="17">
        <f>SUM(P424:P428,P430,P437,P444,P451)</f>
        <v>5760</v>
      </c>
    </row>
    <row r="424" spans="2:16" x14ac:dyDescent="0.25">
      <c r="D424" s="3" t="s">
        <v>21</v>
      </c>
      <c r="F424" s="7">
        <v>50204010</v>
      </c>
      <c r="H424" s="8">
        <v>21600</v>
      </c>
      <c r="J424" s="8">
        <v>21600</v>
      </c>
      <c r="L424" s="8">
        <v>15840</v>
      </c>
      <c r="N424" s="8">
        <v>0</v>
      </c>
      <c r="P424" s="8">
        <v>5760</v>
      </c>
    </row>
    <row r="425" spans="2:16" x14ac:dyDescent="0.25">
      <c r="D425" s="3" t="s">
        <v>22</v>
      </c>
      <c r="F425" s="7">
        <v>50205020</v>
      </c>
      <c r="H425" s="8">
        <v>52000</v>
      </c>
      <c r="J425" s="8">
        <v>52000</v>
      </c>
      <c r="L425" s="8">
        <v>52000</v>
      </c>
      <c r="N425" s="8">
        <v>0</v>
      </c>
      <c r="P425" s="8">
        <v>0</v>
      </c>
    </row>
    <row r="426" spans="2:16" x14ac:dyDescent="0.25">
      <c r="D426" s="3" t="s">
        <v>761</v>
      </c>
      <c r="F426" s="7">
        <v>50216020</v>
      </c>
      <c r="H426" s="8">
        <v>3375</v>
      </c>
      <c r="J426" s="8">
        <v>3375</v>
      </c>
      <c r="L426" s="8">
        <v>3375</v>
      </c>
      <c r="N426" s="8">
        <v>0</v>
      </c>
      <c r="P426" s="8">
        <v>0</v>
      </c>
    </row>
    <row r="427" spans="2:16" x14ac:dyDescent="0.25">
      <c r="D427" s="3" t="s">
        <v>91</v>
      </c>
      <c r="F427" s="7">
        <v>50299020</v>
      </c>
      <c r="H427" s="8">
        <v>70000</v>
      </c>
      <c r="J427" s="8">
        <v>70000</v>
      </c>
      <c r="L427" s="8">
        <v>70000</v>
      </c>
      <c r="N427" s="8">
        <v>0</v>
      </c>
      <c r="P427" s="8">
        <v>0</v>
      </c>
    </row>
    <row r="428" spans="2:16" x14ac:dyDescent="0.25">
      <c r="D428" s="3" t="s">
        <v>38</v>
      </c>
      <c r="F428" s="7">
        <v>50299030</v>
      </c>
      <c r="H428" s="8">
        <v>34000</v>
      </c>
      <c r="J428" s="8">
        <v>34000</v>
      </c>
      <c r="L428" s="8">
        <v>34000</v>
      </c>
      <c r="N428" s="8">
        <v>0</v>
      </c>
      <c r="P428" s="8">
        <v>0</v>
      </c>
    </row>
    <row r="429" spans="2:16" x14ac:dyDescent="0.25">
      <c r="C429" s="11" t="s">
        <v>177</v>
      </c>
    </row>
    <row r="430" spans="2:16" x14ac:dyDescent="0.25">
      <c r="C430" s="11" t="s">
        <v>65</v>
      </c>
      <c r="H430" s="17">
        <f>SUM(H431:H436)</f>
        <v>1577578.11</v>
      </c>
      <c r="J430" s="17">
        <f>SUM(J431:J436)</f>
        <v>1577578.11</v>
      </c>
      <c r="L430" s="17">
        <f>SUM(L431:L436)</f>
        <v>1577578.11</v>
      </c>
      <c r="N430" s="17">
        <f>SUM(N431:N436)</f>
        <v>0</v>
      </c>
      <c r="P430" s="17">
        <f>SUM(P431:P436)</f>
        <v>0</v>
      </c>
    </row>
    <row r="431" spans="2:16" x14ac:dyDescent="0.25">
      <c r="D431" s="3" t="s">
        <v>760</v>
      </c>
      <c r="F431" s="7">
        <v>50201010</v>
      </c>
      <c r="H431" s="8">
        <v>25970</v>
      </c>
      <c r="J431" s="8">
        <v>25970</v>
      </c>
      <c r="L431" s="8">
        <v>25970</v>
      </c>
      <c r="N431" s="8">
        <v>0</v>
      </c>
      <c r="P431" s="8">
        <v>0</v>
      </c>
    </row>
    <row r="432" spans="2:16" x14ac:dyDescent="0.25">
      <c r="D432" s="3" t="s">
        <v>19</v>
      </c>
      <c r="F432" s="7">
        <v>50202010</v>
      </c>
      <c r="H432" s="8">
        <v>1097632</v>
      </c>
      <c r="J432" s="8">
        <v>1097632</v>
      </c>
      <c r="L432" s="8">
        <v>1097632</v>
      </c>
      <c r="N432" s="8">
        <v>0</v>
      </c>
      <c r="P432" s="8">
        <v>0</v>
      </c>
    </row>
    <row r="433" spans="3:16" x14ac:dyDescent="0.25">
      <c r="D433" s="3" t="s">
        <v>37</v>
      </c>
      <c r="F433" s="7">
        <v>50203990</v>
      </c>
      <c r="H433" s="8">
        <v>146406</v>
      </c>
      <c r="J433" s="8">
        <v>146406</v>
      </c>
      <c r="L433" s="8">
        <v>146406</v>
      </c>
      <c r="N433" s="8">
        <v>0</v>
      </c>
      <c r="P433" s="8">
        <f t="shared" ref="P433:P435" si="0">+J433-L433</f>
        <v>0</v>
      </c>
    </row>
    <row r="434" spans="3:16" x14ac:dyDescent="0.25">
      <c r="D434" s="3" t="s">
        <v>22</v>
      </c>
      <c r="F434" s="7">
        <v>50205020</v>
      </c>
      <c r="H434" s="8">
        <v>10000</v>
      </c>
      <c r="J434" s="8">
        <v>10000</v>
      </c>
      <c r="L434" s="8">
        <v>10000</v>
      </c>
      <c r="N434" s="8">
        <v>0</v>
      </c>
      <c r="P434" s="8">
        <f t="shared" si="0"/>
        <v>0</v>
      </c>
    </row>
    <row r="435" spans="3:16" x14ac:dyDescent="0.25">
      <c r="D435" s="3" t="s">
        <v>25</v>
      </c>
      <c r="F435" s="7">
        <v>50211990</v>
      </c>
      <c r="H435" s="8">
        <v>57570.11</v>
      </c>
      <c r="J435" s="8">
        <v>57570.11</v>
      </c>
      <c r="L435" s="8">
        <v>57570.11</v>
      </c>
      <c r="N435" s="8">
        <v>0</v>
      </c>
      <c r="P435" s="8">
        <f t="shared" si="0"/>
        <v>0</v>
      </c>
    </row>
    <row r="436" spans="3:16" x14ac:dyDescent="0.25">
      <c r="D436" s="3" t="s">
        <v>38</v>
      </c>
      <c r="F436" s="7">
        <v>50299030</v>
      </c>
      <c r="H436" s="8">
        <v>240000</v>
      </c>
      <c r="J436" s="8">
        <v>240000</v>
      </c>
      <c r="L436" s="8">
        <v>240000</v>
      </c>
      <c r="N436" s="8">
        <v>0</v>
      </c>
      <c r="P436" s="8">
        <v>0</v>
      </c>
    </row>
    <row r="437" spans="3:16" x14ac:dyDescent="0.25">
      <c r="C437" s="11" t="s">
        <v>66</v>
      </c>
      <c r="H437" s="17">
        <f>SUM(H438:H443)</f>
        <v>1096806</v>
      </c>
      <c r="J437" s="17">
        <f>SUM(J438:J443)</f>
        <v>1096806</v>
      </c>
      <c r="L437" s="17">
        <f>SUM(L438:L443)</f>
        <v>1096806</v>
      </c>
      <c r="N437" s="17">
        <f>SUM(N438:N443)</f>
        <v>0</v>
      </c>
      <c r="P437" s="17">
        <f>SUM(P438:P443)</f>
        <v>0</v>
      </c>
    </row>
    <row r="438" spans="3:16" x14ac:dyDescent="0.25">
      <c r="D438" s="3" t="s">
        <v>760</v>
      </c>
      <c r="F438" s="7">
        <v>50201010</v>
      </c>
      <c r="H438" s="8">
        <v>300000</v>
      </c>
      <c r="J438" s="8">
        <v>300000</v>
      </c>
      <c r="L438" s="8">
        <v>300000</v>
      </c>
      <c r="N438" s="8">
        <v>0</v>
      </c>
      <c r="P438" s="8">
        <f>+J438-L438</f>
        <v>0</v>
      </c>
    </row>
    <row r="439" spans="3:16" x14ac:dyDescent="0.25">
      <c r="D439" s="3" t="s">
        <v>37</v>
      </c>
      <c r="F439" s="7">
        <v>50203990</v>
      </c>
      <c r="H439" s="8">
        <v>147894</v>
      </c>
      <c r="J439" s="8">
        <v>147894</v>
      </c>
      <c r="L439" s="8">
        <v>147894</v>
      </c>
      <c r="N439" s="8">
        <v>0</v>
      </c>
      <c r="P439" s="8">
        <v>0</v>
      </c>
    </row>
    <row r="440" spans="3:16" x14ac:dyDescent="0.25">
      <c r="D440" s="3" t="s">
        <v>40</v>
      </c>
      <c r="F440" s="7">
        <v>50206020</v>
      </c>
      <c r="H440" s="8">
        <v>158250</v>
      </c>
      <c r="J440" s="8">
        <v>158250</v>
      </c>
      <c r="L440" s="8">
        <v>158250</v>
      </c>
      <c r="N440" s="8">
        <v>0</v>
      </c>
      <c r="P440" s="8">
        <v>0</v>
      </c>
    </row>
    <row r="441" spans="3:16" x14ac:dyDescent="0.25">
      <c r="D441" s="3" t="s">
        <v>25</v>
      </c>
      <c r="F441" s="7">
        <v>50211990</v>
      </c>
      <c r="H441" s="8">
        <v>11112</v>
      </c>
      <c r="J441" s="8">
        <v>11112</v>
      </c>
      <c r="L441" s="8">
        <v>11112</v>
      </c>
      <c r="N441" s="8">
        <v>0</v>
      </c>
      <c r="P441" s="8">
        <v>0</v>
      </c>
    </row>
    <row r="442" spans="3:16" x14ac:dyDescent="0.25">
      <c r="D442" s="3" t="s">
        <v>38</v>
      </c>
      <c r="F442" s="7">
        <v>50299030</v>
      </c>
      <c r="H442" s="8">
        <v>249550</v>
      </c>
      <c r="J442" s="8">
        <v>249550</v>
      </c>
      <c r="L442" s="8">
        <v>249550</v>
      </c>
      <c r="N442" s="8">
        <v>0</v>
      </c>
      <c r="P442" s="8">
        <v>0</v>
      </c>
    </row>
    <row r="443" spans="3:16" x14ac:dyDescent="0.25">
      <c r="D443" s="3" t="s">
        <v>43</v>
      </c>
      <c r="F443" s="7">
        <v>50299080</v>
      </c>
      <c r="H443" s="8">
        <v>230000</v>
      </c>
      <c r="J443" s="8">
        <v>230000</v>
      </c>
      <c r="L443" s="8">
        <v>230000</v>
      </c>
      <c r="N443" s="8">
        <v>0</v>
      </c>
      <c r="P443" s="8">
        <v>0</v>
      </c>
    </row>
    <row r="444" spans="3:16" x14ac:dyDescent="0.25">
      <c r="C444" s="11" t="s">
        <v>67</v>
      </c>
      <c r="H444" s="17">
        <f>SUM(H445:H450)</f>
        <v>196829</v>
      </c>
      <c r="J444" s="17">
        <f>SUM(J445:J450)</f>
        <v>196829</v>
      </c>
      <c r="L444" s="17">
        <f>SUM(L445:L450)</f>
        <v>196829</v>
      </c>
      <c r="N444" s="17">
        <f>SUM(N445:N450)</f>
        <v>0</v>
      </c>
      <c r="P444" s="17">
        <f>SUM(P445:P450)</f>
        <v>0</v>
      </c>
    </row>
    <row r="445" spans="3:16" x14ac:dyDescent="0.25">
      <c r="D445" s="3" t="s">
        <v>744</v>
      </c>
      <c r="F445" s="7">
        <v>50201010</v>
      </c>
      <c r="H445" s="8">
        <v>10770</v>
      </c>
      <c r="J445" s="8">
        <v>10770</v>
      </c>
      <c r="L445" s="8">
        <v>10770</v>
      </c>
      <c r="N445" s="8">
        <v>0</v>
      </c>
      <c r="P445" s="8">
        <v>0</v>
      </c>
    </row>
    <row r="446" spans="3:16" x14ac:dyDescent="0.25">
      <c r="D446" s="3" t="s">
        <v>19</v>
      </c>
      <c r="F446" s="7">
        <v>50202010</v>
      </c>
      <c r="H446" s="8">
        <v>12660</v>
      </c>
      <c r="J446" s="8">
        <v>12660</v>
      </c>
      <c r="L446" s="8">
        <v>12660</v>
      </c>
      <c r="N446" s="8">
        <v>0</v>
      </c>
      <c r="P446" s="8">
        <v>0</v>
      </c>
    </row>
    <row r="447" spans="3:16" x14ac:dyDescent="0.25">
      <c r="D447" s="3" t="s">
        <v>751</v>
      </c>
      <c r="F447" s="7">
        <v>50203010</v>
      </c>
      <c r="H447" s="8">
        <v>49900</v>
      </c>
      <c r="J447" s="8">
        <v>49900</v>
      </c>
      <c r="L447" s="8">
        <v>49900</v>
      </c>
      <c r="N447" s="8">
        <v>0</v>
      </c>
      <c r="P447" s="8">
        <v>0</v>
      </c>
    </row>
    <row r="448" spans="3:16" x14ac:dyDescent="0.25">
      <c r="D448" s="3" t="s">
        <v>37</v>
      </c>
      <c r="F448" s="7">
        <v>50203990</v>
      </c>
      <c r="H448" s="8">
        <v>54999</v>
      </c>
      <c r="J448" s="8">
        <v>54999</v>
      </c>
      <c r="L448" s="8">
        <v>54999</v>
      </c>
      <c r="N448" s="8">
        <v>0</v>
      </c>
      <c r="P448" s="8">
        <v>0</v>
      </c>
    </row>
    <row r="449" spans="2:16" x14ac:dyDescent="0.25">
      <c r="D449" s="3" t="s">
        <v>22</v>
      </c>
      <c r="F449" s="7">
        <v>50205020</v>
      </c>
      <c r="H449" s="8">
        <v>8000</v>
      </c>
      <c r="J449" s="8">
        <v>8000</v>
      </c>
      <c r="L449" s="8">
        <v>8000</v>
      </c>
      <c r="N449" s="8">
        <v>0</v>
      </c>
      <c r="P449" s="8">
        <v>0</v>
      </c>
    </row>
    <row r="450" spans="2:16" x14ac:dyDescent="0.25">
      <c r="D450" s="3" t="s">
        <v>735</v>
      </c>
      <c r="F450" s="7">
        <v>50299030</v>
      </c>
      <c r="H450" s="8">
        <v>60500</v>
      </c>
      <c r="J450" s="8">
        <v>60500</v>
      </c>
      <c r="L450" s="8">
        <v>60500</v>
      </c>
      <c r="N450" s="8">
        <v>0</v>
      </c>
      <c r="P450" s="8">
        <v>0</v>
      </c>
    </row>
    <row r="451" spans="2:16" x14ac:dyDescent="0.25">
      <c r="C451" s="11" t="s">
        <v>796</v>
      </c>
      <c r="H451" s="17">
        <f>SUM(H452:H457)</f>
        <v>1815068</v>
      </c>
      <c r="J451" s="17">
        <f>SUM(J452:J457)</f>
        <v>1815068</v>
      </c>
      <c r="L451" s="17">
        <f>SUM(L452:L457)</f>
        <v>1815068</v>
      </c>
      <c r="N451" s="17">
        <f>SUM(N452:N457)</f>
        <v>0</v>
      </c>
      <c r="P451" s="17">
        <f>SUM(P452:P457)</f>
        <v>0</v>
      </c>
    </row>
    <row r="452" spans="2:16" x14ac:dyDescent="0.25">
      <c r="D452" s="3" t="s">
        <v>744</v>
      </c>
      <c r="F452" s="7">
        <v>50201010</v>
      </c>
      <c r="H452" s="8">
        <v>85162</v>
      </c>
      <c r="J452" s="8">
        <v>85162</v>
      </c>
      <c r="L452" s="8">
        <v>85162</v>
      </c>
      <c r="N452" s="8">
        <v>0</v>
      </c>
      <c r="P452" s="8">
        <v>0</v>
      </c>
    </row>
    <row r="453" spans="2:16" x14ac:dyDescent="0.25">
      <c r="D453" s="3" t="s">
        <v>19</v>
      </c>
      <c r="F453" s="7">
        <v>50202010</v>
      </c>
      <c r="H453" s="8">
        <v>616830</v>
      </c>
      <c r="J453" s="8">
        <v>616830</v>
      </c>
      <c r="L453" s="8">
        <v>616830</v>
      </c>
      <c r="N453" s="8">
        <v>0</v>
      </c>
      <c r="P453" s="8">
        <v>0</v>
      </c>
    </row>
    <row r="454" spans="2:16" x14ac:dyDescent="0.25">
      <c r="D454" s="3" t="s">
        <v>36</v>
      </c>
      <c r="F454" s="7">
        <v>50203010</v>
      </c>
      <c r="H454" s="8">
        <v>38260</v>
      </c>
      <c r="J454" s="8">
        <v>38260</v>
      </c>
      <c r="L454" s="8">
        <v>38260</v>
      </c>
      <c r="N454" s="8">
        <v>0</v>
      </c>
      <c r="P454" s="8">
        <v>0</v>
      </c>
    </row>
    <row r="455" spans="2:16" x14ac:dyDescent="0.25">
      <c r="D455" s="3" t="s">
        <v>748</v>
      </c>
      <c r="F455" s="7">
        <v>50203990</v>
      </c>
      <c r="H455" s="8">
        <v>85201</v>
      </c>
      <c r="J455" s="8">
        <v>85201</v>
      </c>
      <c r="L455" s="8">
        <v>85201</v>
      </c>
      <c r="N455" s="8">
        <v>0</v>
      </c>
      <c r="P455" s="8">
        <v>0</v>
      </c>
    </row>
    <row r="456" spans="2:16" x14ac:dyDescent="0.25">
      <c r="D456" s="3" t="s">
        <v>735</v>
      </c>
      <c r="F456" s="7">
        <v>50299030</v>
      </c>
      <c r="H456" s="8">
        <v>300000</v>
      </c>
      <c r="J456" s="8">
        <v>300000</v>
      </c>
      <c r="L456" s="8">
        <v>300000</v>
      </c>
      <c r="N456" s="8">
        <v>0</v>
      </c>
      <c r="P456" s="8">
        <v>0</v>
      </c>
    </row>
    <row r="457" spans="2:16" x14ac:dyDescent="0.25">
      <c r="D457" s="3" t="s">
        <v>746</v>
      </c>
      <c r="F457" s="7">
        <v>50299080</v>
      </c>
      <c r="H457" s="8">
        <v>689615</v>
      </c>
      <c r="J457" s="8">
        <v>689615</v>
      </c>
      <c r="L457" s="8">
        <v>689615</v>
      </c>
      <c r="N457" s="8">
        <v>0</v>
      </c>
      <c r="P457" s="8">
        <v>0</v>
      </c>
    </row>
    <row r="459" spans="2:16" x14ac:dyDescent="0.25">
      <c r="C459" s="11" t="s">
        <v>208</v>
      </c>
      <c r="F459" s="7">
        <v>300</v>
      </c>
    </row>
    <row r="460" spans="2:16" x14ac:dyDescent="0.25">
      <c r="D460" s="3" t="s">
        <v>260</v>
      </c>
      <c r="F460" s="7">
        <v>10705030</v>
      </c>
      <c r="H460" s="17">
        <v>300000</v>
      </c>
      <c r="J460" s="17">
        <v>300000</v>
      </c>
      <c r="L460" s="17">
        <v>0</v>
      </c>
      <c r="N460" s="17">
        <v>0</v>
      </c>
      <c r="P460" s="17">
        <v>300000</v>
      </c>
    </row>
    <row r="462" spans="2:16" x14ac:dyDescent="0.25">
      <c r="C462" s="11" t="s">
        <v>241</v>
      </c>
      <c r="H462" s="17">
        <f>+H460+H423+H410</f>
        <v>12641879.010000002</v>
      </c>
      <c r="I462" s="8" t="s">
        <v>0</v>
      </c>
      <c r="J462" s="17">
        <f>+J460+J423+J410</f>
        <v>12641879.010000002</v>
      </c>
      <c r="K462" s="8" t="s">
        <v>0</v>
      </c>
      <c r="L462" s="17">
        <f>+L460+L423+L410</f>
        <v>12336119.010000002</v>
      </c>
      <c r="M462" s="8" t="s">
        <v>0</v>
      </c>
      <c r="N462" s="17">
        <f>+N460+N423+N410</f>
        <v>0</v>
      </c>
      <c r="O462" s="8" t="s">
        <v>0</v>
      </c>
      <c r="P462" s="17">
        <f>+P460+P423+P410</f>
        <v>305760</v>
      </c>
    </row>
    <row r="464" spans="2:16" x14ac:dyDescent="0.25">
      <c r="B464" s="11" t="s">
        <v>242</v>
      </c>
      <c r="C464" s="11"/>
    </row>
    <row r="465" spans="2:16" x14ac:dyDescent="0.25">
      <c r="B465" s="11"/>
      <c r="C465" s="11" t="s">
        <v>243</v>
      </c>
      <c r="F465" s="7">
        <v>1041</v>
      </c>
    </row>
    <row r="466" spans="2:16" x14ac:dyDescent="0.25">
      <c r="B466" s="11" t="s">
        <v>160</v>
      </c>
      <c r="C466" s="11"/>
      <c r="F466" s="7">
        <v>100</v>
      </c>
      <c r="H466" s="17">
        <f>SUM(H467:H478)</f>
        <v>8328549.8399999999</v>
      </c>
      <c r="J466" s="17">
        <f>SUM(J467:J478)</f>
        <v>8328549.8399999999</v>
      </c>
      <c r="L466" s="17">
        <f>SUM(L467:L478)</f>
        <v>8328549.8399999999</v>
      </c>
      <c r="N466" s="17">
        <f>SUM(N467:N478)</f>
        <v>0</v>
      </c>
      <c r="P466" s="17">
        <f>SUM(P467:P478)</f>
        <v>0</v>
      </c>
    </row>
    <row r="467" spans="2:16" x14ac:dyDescent="0.25">
      <c r="D467" s="3" t="s">
        <v>8</v>
      </c>
      <c r="F467" s="7">
        <v>50101010</v>
      </c>
      <c r="H467" s="8">
        <v>5759150</v>
      </c>
      <c r="J467" s="8">
        <v>5759150</v>
      </c>
      <c r="L467" s="8">
        <v>5759150</v>
      </c>
      <c r="N467" s="8">
        <v>0</v>
      </c>
      <c r="P467" s="8">
        <v>0</v>
      </c>
    </row>
    <row r="468" spans="2:16" x14ac:dyDescent="0.25">
      <c r="D468" s="3" t="s">
        <v>162</v>
      </c>
      <c r="F468" s="7">
        <v>50102010</v>
      </c>
      <c r="H468" s="8">
        <v>317254.53999999998</v>
      </c>
      <c r="J468" s="8">
        <v>317254.53999999998</v>
      </c>
      <c r="L468" s="8">
        <v>317254.53999999998</v>
      </c>
      <c r="N468" s="8">
        <v>0</v>
      </c>
      <c r="P468" s="8">
        <v>0</v>
      </c>
    </row>
    <row r="469" spans="2:16" x14ac:dyDescent="0.25">
      <c r="D469" s="3" t="s">
        <v>776</v>
      </c>
      <c r="F469" s="7">
        <v>50102020</v>
      </c>
      <c r="H469" s="8">
        <v>188250</v>
      </c>
      <c r="J469" s="8">
        <v>188250</v>
      </c>
      <c r="L469" s="8">
        <v>188250</v>
      </c>
      <c r="N469" s="8">
        <v>0</v>
      </c>
      <c r="P469" s="8">
        <v>0</v>
      </c>
    </row>
    <row r="470" spans="2:16" x14ac:dyDescent="0.25">
      <c r="D470" s="3" t="s">
        <v>60</v>
      </c>
      <c r="F470" s="7">
        <v>50102030</v>
      </c>
      <c r="H470" s="8">
        <v>90000</v>
      </c>
      <c r="J470" s="8">
        <v>90000</v>
      </c>
      <c r="L470" s="8">
        <v>90000</v>
      </c>
      <c r="N470" s="8">
        <v>0</v>
      </c>
      <c r="P470" s="8">
        <v>0</v>
      </c>
    </row>
    <row r="471" spans="2:16" x14ac:dyDescent="0.25">
      <c r="D471" s="3" t="s">
        <v>11</v>
      </c>
      <c r="F471" s="7">
        <v>50102040</v>
      </c>
      <c r="H471" s="8">
        <v>65000</v>
      </c>
      <c r="J471" s="8">
        <v>65000</v>
      </c>
      <c r="L471" s="8">
        <v>65000</v>
      </c>
      <c r="N471" s="8">
        <v>0</v>
      </c>
      <c r="P471" s="8">
        <v>0</v>
      </c>
    </row>
    <row r="472" spans="2:16" x14ac:dyDescent="0.25">
      <c r="D472" s="3" t="s">
        <v>12</v>
      </c>
      <c r="F472" s="7">
        <v>50102140</v>
      </c>
      <c r="H472" s="8">
        <v>1004259</v>
      </c>
      <c r="J472" s="8">
        <v>1004259</v>
      </c>
      <c r="L472" s="8">
        <v>1004259</v>
      </c>
      <c r="N472" s="8">
        <v>0</v>
      </c>
      <c r="P472" s="8">
        <v>0</v>
      </c>
    </row>
    <row r="473" spans="2:16" x14ac:dyDescent="0.25">
      <c r="D473" s="3" t="s">
        <v>13</v>
      </c>
      <c r="F473" s="7">
        <v>50102150</v>
      </c>
      <c r="H473" s="8">
        <v>65000</v>
      </c>
      <c r="J473" s="8">
        <v>65000</v>
      </c>
      <c r="L473" s="8">
        <v>65000</v>
      </c>
      <c r="N473" s="8">
        <v>0</v>
      </c>
      <c r="P473" s="8">
        <v>0</v>
      </c>
    </row>
    <row r="474" spans="2:16" x14ac:dyDescent="0.25">
      <c r="D474" s="3" t="s">
        <v>164</v>
      </c>
      <c r="F474" s="7">
        <v>50103010</v>
      </c>
      <c r="H474" s="8">
        <v>691098.8</v>
      </c>
      <c r="J474" s="8">
        <v>691098.8</v>
      </c>
      <c r="L474" s="8">
        <v>691098.8</v>
      </c>
      <c r="N474" s="8">
        <v>0</v>
      </c>
      <c r="P474" s="8">
        <v>0</v>
      </c>
    </row>
    <row r="475" spans="2:16" x14ac:dyDescent="0.25">
      <c r="D475" s="3" t="s">
        <v>14</v>
      </c>
      <c r="F475" s="7">
        <v>50103020</v>
      </c>
      <c r="H475" s="8">
        <v>15800</v>
      </c>
      <c r="J475" s="8">
        <v>15800</v>
      </c>
      <c r="L475" s="8">
        <v>15800</v>
      </c>
      <c r="N475" s="8">
        <v>0</v>
      </c>
      <c r="P475" s="8">
        <v>0</v>
      </c>
    </row>
    <row r="476" spans="2:16" x14ac:dyDescent="0.25">
      <c r="D476" s="3" t="s">
        <v>15</v>
      </c>
      <c r="F476" s="7">
        <v>50103030</v>
      </c>
      <c r="H476" s="8">
        <v>51937.5</v>
      </c>
      <c r="J476" s="8">
        <v>51937.5</v>
      </c>
      <c r="L476" s="8">
        <v>51937.5</v>
      </c>
      <c r="N476" s="8">
        <v>0</v>
      </c>
      <c r="P476" s="8">
        <v>0</v>
      </c>
    </row>
    <row r="477" spans="2:16" x14ac:dyDescent="0.25">
      <c r="D477" s="3" t="s">
        <v>165</v>
      </c>
      <c r="F477" s="7">
        <v>50103040</v>
      </c>
      <c r="H477" s="8">
        <v>15800</v>
      </c>
      <c r="J477" s="8">
        <v>15800</v>
      </c>
      <c r="L477" s="8">
        <v>15800</v>
      </c>
      <c r="N477" s="8">
        <v>0</v>
      </c>
      <c r="P477" s="8">
        <v>0</v>
      </c>
    </row>
    <row r="478" spans="2:16" x14ac:dyDescent="0.25">
      <c r="D478" s="3" t="s">
        <v>16</v>
      </c>
      <c r="F478" s="7">
        <v>50104990</v>
      </c>
      <c r="H478" s="8">
        <v>65000</v>
      </c>
      <c r="J478" s="8">
        <v>65000</v>
      </c>
      <c r="L478" s="8">
        <v>65000</v>
      </c>
      <c r="N478" s="8">
        <v>0</v>
      </c>
      <c r="P478" s="8">
        <v>0</v>
      </c>
    </row>
    <row r="479" spans="2:16" x14ac:dyDescent="0.25">
      <c r="B479" s="11" t="s">
        <v>166</v>
      </c>
      <c r="F479" s="7">
        <v>200</v>
      </c>
      <c r="H479" s="17">
        <f>SUM(H480:H484,H486,H490,H495,H499)</f>
        <v>3891807.88</v>
      </c>
      <c r="J479" s="17">
        <f>SUM(J480:J484,J486,J490,J495,J499)</f>
        <v>3891807.88</v>
      </c>
      <c r="L479" s="17">
        <f>SUM(L480:L484,L486,L490,L495,L499)</f>
        <v>3884671.88</v>
      </c>
      <c r="N479" s="17">
        <f>SUM(N480:N484,N486,N490,N495,N499)</f>
        <v>0</v>
      </c>
      <c r="P479" s="17">
        <f>SUM(P480:P484,P486,P490,P495,P499)</f>
        <v>7136</v>
      </c>
    </row>
    <row r="480" spans="2:16" x14ac:dyDescent="0.25">
      <c r="D480" s="3" t="s">
        <v>21</v>
      </c>
      <c r="F480" s="7">
        <v>50204010</v>
      </c>
      <c r="H480" s="8">
        <v>20000</v>
      </c>
      <c r="J480" s="8">
        <v>20000</v>
      </c>
      <c r="L480" s="8">
        <v>14036</v>
      </c>
      <c r="N480" s="8">
        <v>0</v>
      </c>
      <c r="P480" s="8">
        <v>5964</v>
      </c>
    </row>
    <row r="481" spans="3:16" x14ac:dyDescent="0.25">
      <c r="D481" s="3" t="s">
        <v>22</v>
      </c>
      <c r="F481" s="7">
        <v>50205020</v>
      </c>
      <c r="H481" s="8">
        <v>84000</v>
      </c>
      <c r="J481" s="8">
        <v>84000</v>
      </c>
      <c r="L481" s="8">
        <v>84000</v>
      </c>
      <c r="N481" s="8">
        <v>0</v>
      </c>
      <c r="P481" s="8">
        <v>0</v>
      </c>
    </row>
    <row r="482" spans="3:16" x14ac:dyDescent="0.25">
      <c r="D482" s="3" t="s">
        <v>27</v>
      </c>
      <c r="F482" s="7">
        <v>50213050</v>
      </c>
      <c r="H482" s="8">
        <v>7690</v>
      </c>
      <c r="J482" s="8">
        <v>7690</v>
      </c>
      <c r="L482" s="8">
        <v>7690</v>
      </c>
      <c r="N482" s="8">
        <v>0</v>
      </c>
      <c r="P482" s="8">
        <v>0</v>
      </c>
    </row>
    <row r="483" spans="3:16" x14ac:dyDescent="0.25">
      <c r="D483" s="3" t="s">
        <v>761</v>
      </c>
      <c r="F483" s="7">
        <v>50216020</v>
      </c>
      <c r="H483" s="8">
        <v>3375</v>
      </c>
      <c r="J483" s="8">
        <v>3375</v>
      </c>
      <c r="L483" s="8">
        <v>3375</v>
      </c>
      <c r="N483" s="8">
        <v>0</v>
      </c>
      <c r="P483" s="8">
        <v>0</v>
      </c>
    </row>
    <row r="484" spans="3:16" x14ac:dyDescent="0.25">
      <c r="D484" s="3" t="s">
        <v>83</v>
      </c>
      <c r="F484" s="7">
        <v>50299020</v>
      </c>
      <c r="H484" s="8">
        <v>40675</v>
      </c>
      <c r="J484" s="8">
        <v>40675</v>
      </c>
      <c r="L484" s="8">
        <v>40675</v>
      </c>
      <c r="N484" s="8">
        <v>0</v>
      </c>
      <c r="P484" s="8">
        <v>0</v>
      </c>
    </row>
    <row r="485" spans="3:16" x14ac:dyDescent="0.25">
      <c r="C485" s="11" t="s">
        <v>177</v>
      </c>
    </row>
    <row r="486" spans="3:16" x14ac:dyDescent="0.25">
      <c r="C486" s="11" t="s">
        <v>35</v>
      </c>
      <c r="H486" s="17">
        <f>SUM(H487:H489)</f>
        <v>395699</v>
      </c>
      <c r="J486" s="17">
        <f>SUM(J487:J489)</f>
        <v>395699</v>
      </c>
      <c r="L486" s="17">
        <f>SUM(L487:L489)</f>
        <v>395699</v>
      </c>
      <c r="N486" s="17">
        <f>SUM(N487:N489)</f>
        <v>0</v>
      </c>
      <c r="P486" s="17">
        <f>SUM(P487:P489)</f>
        <v>0</v>
      </c>
    </row>
    <row r="487" spans="3:16" x14ac:dyDescent="0.25">
      <c r="D487" s="3" t="s">
        <v>36</v>
      </c>
      <c r="F487" s="7">
        <v>50203010</v>
      </c>
      <c r="H487" s="8">
        <v>95699</v>
      </c>
      <c r="J487" s="8">
        <v>95699</v>
      </c>
      <c r="L487" s="8">
        <v>95699</v>
      </c>
      <c r="N487" s="8">
        <v>0</v>
      </c>
      <c r="P487" s="8">
        <v>0</v>
      </c>
    </row>
    <row r="488" spans="3:16" x14ac:dyDescent="0.25">
      <c r="D488" s="3" t="s">
        <v>25</v>
      </c>
      <c r="F488" s="7">
        <v>50211990</v>
      </c>
      <c r="H488" s="8">
        <v>50000</v>
      </c>
      <c r="J488" s="8">
        <v>50000</v>
      </c>
      <c r="L488" s="8">
        <v>50000</v>
      </c>
      <c r="N488" s="8">
        <v>0</v>
      </c>
      <c r="P488" s="8">
        <v>0</v>
      </c>
    </row>
    <row r="489" spans="3:16" x14ac:dyDescent="0.25">
      <c r="D489" s="3" t="s">
        <v>38</v>
      </c>
      <c r="F489" s="7">
        <v>50299030</v>
      </c>
      <c r="H489" s="8">
        <v>250000</v>
      </c>
      <c r="J489" s="8">
        <v>250000</v>
      </c>
      <c r="L489" s="8">
        <v>250000</v>
      </c>
      <c r="N489" s="8">
        <v>0</v>
      </c>
      <c r="P489" s="8">
        <v>0</v>
      </c>
    </row>
    <row r="490" spans="3:16" x14ac:dyDescent="0.25">
      <c r="C490" s="11" t="s">
        <v>244</v>
      </c>
      <c r="H490" s="17">
        <f>SUM(H491:H494)</f>
        <v>850164</v>
      </c>
      <c r="J490" s="17">
        <f>SUM(J491:J494)</f>
        <v>850164</v>
      </c>
      <c r="L490" s="17">
        <f>SUM(L491:L494)</f>
        <v>850164</v>
      </c>
      <c r="N490" s="17">
        <f>SUM(N491:N494)</f>
        <v>0</v>
      </c>
      <c r="P490" s="17">
        <f>SUM(P491:P494)</f>
        <v>0</v>
      </c>
    </row>
    <row r="491" spans="3:16" x14ac:dyDescent="0.25">
      <c r="D491" s="3" t="s">
        <v>760</v>
      </c>
      <c r="F491" s="7">
        <v>50201010</v>
      </c>
      <c r="H491" s="8">
        <v>23818</v>
      </c>
      <c r="J491" s="8">
        <v>23818</v>
      </c>
      <c r="L491" s="8">
        <v>23818</v>
      </c>
      <c r="N491" s="8">
        <v>0</v>
      </c>
      <c r="P491" s="8">
        <v>0</v>
      </c>
    </row>
    <row r="492" spans="3:16" x14ac:dyDescent="0.25">
      <c r="D492" s="3" t="s">
        <v>19</v>
      </c>
      <c r="F492" s="7">
        <v>50202010</v>
      </c>
      <c r="H492" s="8">
        <v>449115</v>
      </c>
      <c r="J492" s="8">
        <v>449115</v>
      </c>
      <c r="L492" s="8">
        <v>449115</v>
      </c>
      <c r="N492" s="8">
        <v>0</v>
      </c>
      <c r="P492" s="8">
        <v>0</v>
      </c>
    </row>
    <row r="493" spans="3:16" x14ac:dyDescent="0.25">
      <c r="D493" s="3" t="s">
        <v>36</v>
      </c>
      <c r="F493" s="7">
        <v>50203010</v>
      </c>
      <c r="H493" s="8">
        <v>80231</v>
      </c>
      <c r="J493" s="8">
        <v>80231</v>
      </c>
      <c r="L493" s="8">
        <v>80231</v>
      </c>
      <c r="N493" s="8">
        <v>0</v>
      </c>
      <c r="P493" s="8">
        <v>0</v>
      </c>
    </row>
    <row r="494" spans="3:16" x14ac:dyDescent="0.25">
      <c r="D494" s="3" t="s">
        <v>38</v>
      </c>
      <c r="F494" s="7">
        <v>50299030</v>
      </c>
      <c r="H494" s="8">
        <v>297000</v>
      </c>
      <c r="J494" s="8">
        <v>297000</v>
      </c>
      <c r="L494" s="8">
        <v>297000</v>
      </c>
      <c r="N494" s="8">
        <v>0</v>
      </c>
      <c r="P494" s="8">
        <v>0</v>
      </c>
    </row>
    <row r="495" spans="3:16" x14ac:dyDescent="0.25">
      <c r="C495" s="11" t="s">
        <v>245</v>
      </c>
      <c r="H495" s="17">
        <f>SUM(H496:H498)</f>
        <v>336720.88</v>
      </c>
      <c r="J495" s="17">
        <f>SUM(J496:J498)</f>
        <v>336720.88</v>
      </c>
      <c r="L495" s="17">
        <f>SUM(L496:L498)</f>
        <v>335548.88</v>
      </c>
      <c r="N495" s="17">
        <f>SUM(N496:N498)</f>
        <v>0</v>
      </c>
      <c r="P495" s="17">
        <f>SUM(P496:P498)</f>
        <v>1172</v>
      </c>
    </row>
    <row r="496" spans="3:16" x14ac:dyDescent="0.25">
      <c r="D496" s="3" t="s">
        <v>760</v>
      </c>
      <c r="F496" s="7">
        <v>50201010</v>
      </c>
      <c r="H496" s="8">
        <v>94887.88</v>
      </c>
      <c r="J496" s="8">
        <v>94887.88</v>
      </c>
      <c r="L496" s="8">
        <v>93715.88</v>
      </c>
      <c r="N496" s="8">
        <v>0</v>
      </c>
      <c r="P496" s="8">
        <v>1172</v>
      </c>
    </row>
    <row r="497" spans="2:16" x14ac:dyDescent="0.25">
      <c r="D497" s="3" t="s">
        <v>19</v>
      </c>
      <c r="F497" s="7">
        <v>50202010</v>
      </c>
      <c r="H497" s="8">
        <v>96070</v>
      </c>
      <c r="J497" s="8">
        <v>96070</v>
      </c>
      <c r="L497" s="8">
        <v>96070</v>
      </c>
      <c r="N497" s="8">
        <v>0</v>
      </c>
      <c r="P497" s="8">
        <v>0</v>
      </c>
    </row>
    <row r="498" spans="2:16" x14ac:dyDescent="0.25">
      <c r="D498" s="3" t="s">
        <v>36</v>
      </c>
      <c r="F498" s="7">
        <v>50203010</v>
      </c>
      <c r="H498" s="8">
        <v>145763</v>
      </c>
      <c r="J498" s="8">
        <v>145763</v>
      </c>
      <c r="L498" s="8">
        <v>145763</v>
      </c>
      <c r="N498" s="8">
        <v>0</v>
      </c>
      <c r="P498" s="8">
        <v>0</v>
      </c>
    </row>
    <row r="499" spans="2:16" x14ac:dyDescent="0.25">
      <c r="C499" s="11" t="s">
        <v>68</v>
      </c>
      <c r="H499" s="17">
        <f>SUM(H500:H504)</f>
        <v>2153484</v>
      </c>
      <c r="J499" s="17">
        <f>SUM(J500:J504)</f>
        <v>2153484</v>
      </c>
      <c r="L499" s="17">
        <f>SUM(L500:L504)</f>
        <v>2153484</v>
      </c>
      <c r="N499" s="17">
        <f>SUM(N500:N504)</f>
        <v>0</v>
      </c>
      <c r="P499" s="17">
        <f>SUM(P500:P504)</f>
        <v>0</v>
      </c>
    </row>
    <row r="500" spans="2:16" x14ac:dyDescent="0.25">
      <c r="D500" s="3" t="s">
        <v>36</v>
      </c>
      <c r="F500" s="7">
        <v>50203010</v>
      </c>
      <c r="H500" s="8">
        <v>697986</v>
      </c>
      <c r="J500" s="8">
        <v>697986</v>
      </c>
      <c r="L500" s="8">
        <v>697986</v>
      </c>
      <c r="N500" s="8">
        <v>0</v>
      </c>
      <c r="P500" s="8">
        <v>0</v>
      </c>
    </row>
    <row r="501" spans="2:16" x14ac:dyDescent="0.25">
      <c r="D501" s="3" t="s">
        <v>37</v>
      </c>
      <c r="F501" s="7">
        <v>50203990</v>
      </c>
      <c r="H501" s="8">
        <v>141330</v>
      </c>
      <c r="J501" s="8">
        <v>141330</v>
      </c>
      <c r="L501" s="8">
        <v>141330</v>
      </c>
      <c r="N501" s="8">
        <v>0</v>
      </c>
      <c r="P501" s="8">
        <v>0</v>
      </c>
    </row>
    <row r="502" spans="2:16" x14ac:dyDescent="0.25">
      <c r="D502" s="3" t="s">
        <v>247</v>
      </c>
      <c r="F502" s="7">
        <v>50207020</v>
      </c>
      <c r="H502" s="8">
        <v>449000</v>
      </c>
      <c r="J502" s="8">
        <v>449000</v>
      </c>
      <c r="L502" s="8">
        <v>449000</v>
      </c>
      <c r="N502" s="8">
        <v>0</v>
      </c>
      <c r="P502" s="8">
        <v>0</v>
      </c>
    </row>
    <row r="503" spans="2:16" x14ac:dyDescent="0.25">
      <c r="D503" s="3" t="s">
        <v>69</v>
      </c>
      <c r="F503" s="7">
        <v>50211010</v>
      </c>
      <c r="H503" s="8">
        <v>65168</v>
      </c>
      <c r="J503" s="8">
        <v>65168</v>
      </c>
      <c r="L503" s="8">
        <v>65168</v>
      </c>
      <c r="N503" s="8">
        <v>0</v>
      </c>
      <c r="P503" s="8">
        <v>0</v>
      </c>
    </row>
    <row r="504" spans="2:16" x14ac:dyDescent="0.25">
      <c r="D504" s="3" t="s">
        <v>38</v>
      </c>
      <c r="F504" s="7">
        <v>50299030</v>
      </c>
      <c r="H504" s="8">
        <v>800000</v>
      </c>
      <c r="J504" s="8">
        <v>800000</v>
      </c>
      <c r="L504" s="8">
        <v>800000</v>
      </c>
      <c r="N504" s="8">
        <v>0</v>
      </c>
      <c r="P504" s="8">
        <v>0</v>
      </c>
    </row>
    <row r="506" spans="2:16" x14ac:dyDescent="0.25">
      <c r="C506" s="11" t="s">
        <v>246</v>
      </c>
      <c r="H506" s="17">
        <f>+H479+H466</f>
        <v>12220357.719999999</v>
      </c>
      <c r="I506" s="8" t="s">
        <v>0</v>
      </c>
      <c r="J506" s="17">
        <f>+J479+J466</f>
        <v>12220357.719999999</v>
      </c>
      <c r="K506" s="8" t="s">
        <v>0</v>
      </c>
      <c r="L506" s="17">
        <f>+L479+L466</f>
        <v>12213221.719999999</v>
      </c>
      <c r="M506" s="8" t="s">
        <v>0</v>
      </c>
      <c r="N506" s="17">
        <f>+N479+N466</f>
        <v>0</v>
      </c>
      <c r="O506" s="8" t="s">
        <v>0</v>
      </c>
      <c r="P506" s="17">
        <f>+P479+P466</f>
        <v>7136</v>
      </c>
    </row>
    <row r="508" spans="2:16" x14ac:dyDescent="0.25">
      <c r="B508" s="11" t="s">
        <v>248</v>
      </c>
      <c r="F508" s="7" t="s">
        <v>249</v>
      </c>
    </row>
    <row r="509" spans="2:16" x14ac:dyDescent="0.25">
      <c r="B509" s="11" t="s">
        <v>160</v>
      </c>
      <c r="F509" s="7">
        <v>100</v>
      </c>
      <c r="H509" s="17">
        <f>SUM(H510:H522)</f>
        <v>6045208.4500000002</v>
      </c>
      <c r="J509" s="17">
        <f>SUM(J510:J522)</f>
        <v>6045208.4500000002</v>
      </c>
      <c r="L509" s="17">
        <f>SUM(L510:L522)</f>
        <v>6044204.7199999997</v>
      </c>
      <c r="N509" s="17">
        <f>SUM(N510:N522)</f>
        <v>0</v>
      </c>
      <c r="P509" s="17">
        <f>SUM(P510:P522)</f>
        <v>1003.7299999999999</v>
      </c>
    </row>
    <row r="510" spans="2:16" x14ac:dyDescent="0.25">
      <c r="D510" s="3" t="s">
        <v>8</v>
      </c>
      <c r="F510" s="7">
        <v>50101010</v>
      </c>
      <c r="H510" s="8">
        <v>4133463.94</v>
      </c>
      <c r="J510" s="8">
        <v>4133463.94</v>
      </c>
      <c r="L510" s="8">
        <v>4132526.88</v>
      </c>
      <c r="N510" s="8">
        <v>0</v>
      </c>
      <c r="P510" s="8">
        <v>937.06</v>
      </c>
    </row>
    <row r="511" spans="2:16" x14ac:dyDescent="0.25">
      <c r="D511" s="3" t="s">
        <v>162</v>
      </c>
      <c r="F511" s="7">
        <v>50102010</v>
      </c>
      <c r="H511" s="8">
        <v>296491.3</v>
      </c>
      <c r="J511" s="8">
        <v>296491.3</v>
      </c>
      <c r="L511" s="8">
        <v>296424.63</v>
      </c>
      <c r="N511" s="8">
        <v>0</v>
      </c>
      <c r="P511" s="8">
        <v>66.67</v>
      </c>
    </row>
    <row r="512" spans="2:16" x14ac:dyDescent="0.25">
      <c r="D512" s="3" t="s">
        <v>776</v>
      </c>
      <c r="F512" s="7">
        <v>50102020</v>
      </c>
      <c r="H512" s="8">
        <v>102000</v>
      </c>
      <c r="J512" s="8">
        <v>102000</v>
      </c>
      <c r="L512" s="8">
        <v>102000</v>
      </c>
      <c r="N512" s="8">
        <v>0</v>
      </c>
      <c r="P512" s="8">
        <v>0</v>
      </c>
    </row>
    <row r="513" spans="2:16" x14ac:dyDescent="0.25">
      <c r="D513" s="3" t="s">
        <v>60</v>
      </c>
      <c r="F513" s="7">
        <v>50102030</v>
      </c>
      <c r="H513" s="8">
        <v>76500</v>
      </c>
      <c r="J513" s="8">
        <v>76500</v>
      </c>
      <c r="L513" s="8">
        <v>76500</v>
      </c>
      <c r="N513" s="8">
        <v>0</v>
      </c>
      <c r="P513" s="8">
        <v>0</v>
      </c>
    </row>
    <row r="514" spans="2:16" x14ac:dyDescent="0.25">
      <c r="D514" s="3" t="s">
        <v>11</v>
      </c>
      <c r="F514" s="7">
        <v>50102040</v>
      </c>
      <c r="H514" s="8">
        <v>60000</v>
      </c>
      <c r="J514" s="8">
        <v>60000</v>
      </c>
      <c r="L514" s="8">
        <v>60000</v>
      </c>
      <c r="N514" s="8">
        <v>0</v>
      </c>
      <c r="P514" s="8">
        <v>0</v>
      </c>
    </row>
    <row r="515" spans="2:16" x14ac:dyDescent="0.25">
      <c r="D515" s="3" t="s">
        <v>61</v>
      </c>
      <c r="F515" s="7">
        <v>50102120</v>
      </c>
      <c r="H515" s="8">
        <v>10000</v>
      </c>
      <c r="J515" s="8">
        <v>10000</v>
      </c>
      <c r="L515" s="8">
        <v>10000</v>
      </c>
      <c r="N515" s="8">
        <v>0</v>
      </c>
      <c r="P515" s="8">
        <v>0</v>
      </c>
    </row>
    <row r="516" spans="2:16" x14ac:dyDescent="0.25">
      <c r="D516" s="3" t="s">
        <v>12</v>
      </c>
      <c r="F516" s="7">
        <v>50102140</v>
      </c>
      <c r="H516" s="8">
        <v>675612</v>
      </c>
      <c r="J516" s="8">
        <v>675612</v>
      </c>
      <c r="L516" s="8">
        <v>675612</v>
      </c>
      <c r="N516" s="8">
        <v>0</v>
      </c>
      <c r="P516" s="8">
        <v>0</v>
      </c>
    </row>
    <row r="517" spans="2:16" x14ac:dyDescent="0.25">
      <c r="D517" s="3" t="s">
        <v>13</v>
      </c>
      <c r="F517" s="7">
        <v>50102150</v>
      </c>
      <c r="H517" s="8">
        <v>60000</v>
      </c>
      <c r="J517" s="8">
        <v>60000</v>
      </c>
      <c r="L517" s="8">
        <v>60000</v>
      </c>
      <c r="N517" s="8">
        <v>0</v>
      </c>
      <c r="P517" s="8">
        <v>0</v>
      </c>
    </row>
    <row r="518" spans="2:16" x14ac:dyDescent="0.25">
      <c r="D518" s="3" t="s">
        <v>164</v>
      </c>
      <c r="F518" s="7">
        <v>50103010</v>
      </c>
      <c r="H518" s="8">
        <v>496445.72</v>
      </c>
      <c r="J518" s="8">
        <v>496445.72</v>
      </c>
      <c r="L518" s="8">
        <v>496445.72</v>
      </c>
      <c r="N518" s="8">
        <v>0</v>
      </c>
      <c r="P518" s="8">
        <v>0</v>
      </c>
    </row>
    <row r="519" spans="2:16" x14ac:dyDescent="0.25">
      <c r="D519" s="3" t="s">
        <v>14</v>
      </c>
      <c r="F519" s="7">
        <v>50103020</v>
      </c>
      <c r="H519" s="8">
        <v>14900</v>
      </c>
      <c r="J519" s="8">
        <v>14900</v>
      </c>
      <c r="L519" s="8">
        <v>14900</v>
      </c>
      <c r="N519" s="8">
        <v>0</v>
      </c>
      <c r="P519" s="8">
        <v>0</v>
      </c>
    </row>
    <row r="520" spans="2:16" x14ac:dyDescent="0.25">
      <c r="D520" s="3" t="s">
        <v>15</v>
      </c>
      <c r="F520" s="7">
        <v>50103030</v>
      </c>
      <c r="H520" s="8">
        <v>44909.73</v>
      </c>
      <c r="J520" s="8">
        <v>44909.73</v>
      </c>
      <c r="L520" s="8">
        <v>44909.73</v>
      </c>
      <c r="N520" s="8">
        <v>0</v>
      </c>
      <c r="P520" s="8">
        <v>0</v>
      </c>
    </row>
    <row r="521" spans="2:16" x14ac:dyDescent="0.25">
      <c r="D521" s="3" t="s">
        <v>165</v>
      </c>
      <c r="F521" s="7">
        <v>50103040</v>
      </c>
      <c r="H521" s="8">
        <v>14885.76</v>
      </c>
      <c r="J521" s="8">
        <v>14885.76</v>
      </c>
      <c r="L521" s="8">
        <v>14885.76</v>
      </c>
      <c r="N521" s="8">
        <v>0</v>
      </c>
      <c r="P521" s="8">
        <v>0</v>
      </c>
    </row>
    <row r="522" spans="2:16" x14ac:dyDescent="0.25">
      <c r="D522" s="3" t="s">
        <v>16</v>
      </c>
      <c r="F522" s="7">
        <v>50104990</v>
      </c>
      <c r="H522" s="8">
        <v>60000</v>
      </c>
      <c r="J522" s="8">
        <v>60000</v>
      </c>
      <c r="L522" s="8">
        <v>60000</v>
      </c>
      <c r="N522" s="8">
        <v>0</v>
      </c>
      <c r="P522" s="8">
        <v>0</v>
      </c>
    </row>
    <row r="523" spans="2:16" x14ac:dyDescent="0.25">
      <c r="B523" s="11" t="s">
        <v>166</v>
      </c>
      <c r="F523" s="7">
        <v>200</v>
      </c>
      <c r="H523" s="17">
        <f>SUM(H524:H539,H541,H550)</f>
        <v>33815236.460000001</v>
      </c>
      <c r="J523" s="17">
        <f>SUM(J524:J539,J541,J550)</f>
        <v>33815236.460000001</v>
      </c>
      <c r="L523" s="17">
        <f>SUM(L524:L539,L541,L550)</f>
        <v>33681966.609999999</v>
      </c>
      <c r="N523" s="17">
        <f>SUM(N524:N539,N541,N550)</f>
        <v>0</v>
      </c>
      <c r="P523" s="17">
        <f>SUM(P524:P539,P541,P550)</f>
        <v>133269.84999999963</v>
      </c>
    </row>
    <row r="524" spans="2:16" x14ac:dyDescent="0.25">
      <c r="D524" s="3" t="s">
        <v>754</v>
      </c>
      <c r="F524" s="7">
        <v>50203010</v>
      </c>
      <c r="H524" s="8">
        <v>4920047.54</v>
      </c>
      <c r="J524" s="8">
        <v>4920047.54</v>
      </c>
      <c r="L524" s="8">
        <f>4428047.54+491170</f>
        <v>4919217.54</v>
      </c>
      <c r="N524" s="8">
        <f>+H524-J524</f>
        <v>0</v>
      </c>
      <c r="P524" s="8">
        <f>+J524-L524</f>
        <v>830</v>
      </c>
    </row>
    <row r="525" spans="2:16" x14ac:dyDescent="0.25">
      <c r="D525" s="3" t="s">
        <v>755</v>
      </c>
      <c r="F525" s="7">
        <v>50203990</v>
      </c>
      <c r="H525" s="8">
        <v>1727375.95</v>
      </c>
      <c r="J525" s="8">
        <v>1727375.95</v>
      </c>
      <c r="L525" s="8">
        <v>1727375.95</v>
      </c>
      <c r="N525" s="8">
        <f t="shared" ref="N525:N539" si="1">+H525-J525</f>
        <v>0</v>
      </c>
      <c r="P525" s="8">
        <f t="shared" ref="P525:P539" si="2">+J525-L525</f>
        <v>0</v>
      </c>
    </row>
    <row r="526" spans="2:16" x14ac:dyDescent="0.25">
      <c r="D526" s="3" t="s">
        <v>21</v>
      </c>
      <c r="F526" s="7">
        <v>50204010</v>
      </c>
      <c r="H526" s="8">
        <v>150000</v>
      </c>
      <c r="J526" s="8">
        <v>150000</v>
      </c>
      <c r="L526" s="8">
        <v>120472</v>
      </c>
      <c r="N526" s="8">
        <f t="shared" si="1"/>
        <v>0</v>
      </c>
      <c r="P526" s="8">
        <f t="shared" si="2"/>
        <v>29528</v>
      </c>
    </row>
    <row r="527" spans="2:16" x14ac:dyDescent="0.25">
      <c r="D527" s="3" t="s">
        <v>22</v>
      </c>
      <c r="F527" s="7">
        <v>50205020</v>
      </c>
      <c r="H527" s="8">
        <v>55500</v>
      </c>
      <c r="J527" s="8">
        <v>55500</v>
      </c>
      <c r="L527" s="8">
        <v>55500</v>
      </c>
      <c r="N527" s="8">
        <f t="shared" si="1"/>
        <v>0</v>
      </c>
      <c r="P527" s="8">
        <f t="shared" si="2"/>
        <v>0</v>
      </c>
    </row>
    <row r="528" spans="2:16" x14ac:dyDescent="0.25">
      <c r="D528" s="3" t="s">
        <v>70</v>
      </c>
      <c r="F528" s="7">
        <v>50212020</v>
      </c>
      <c r="H528" s="8">
        <v>81000</v>
      </c>
      <c r="J528" s="8">
        <v>81000</v>
      </c>
      <c r="L528" s="8">
        <v>81000</v>
      </c>
      <c r="N528" s="8">
        <f t="shared" si="1"/>
        <v>0</v>
      </c>
      <c r="P528" s="8">
        <f t="shared" si="2"/>
        <v>0</v>
      </c>
    </row>
    <row r="529" spans="3:16" x14ac:dyDescent="0.25">
      <c r="D529" s="3" t="s">
        <v>71</v>
      </c>
      <c r="F529" s="7">
        <v>50213020</v>
      </c>
      <c r="H529" s="8">
        <v>211739</v>
      </c>
      <c r="J529" s="8">
        <v>211739</v>
      </c>
      <c r="L529" s="8">
        <v>211739</v>
      </c>
      <c r="N529" s="8">
        <f t="shared" si="1"/>
        <v>0</v>
      </c>
      <c r="P529" s="8">
        <f t="shared" si="2"/>
        <v>0</v>
      </c>
    </row>
    <row r="530" spans="3:16" x14ac:dyDescent="0.25">
      <c r="D530" s="3" t="s">
        <v>250</v>
      </c>
      <c r="F530" s="7">
        <v>50213040</v>
      </c>
      <c r="H530" s="8">
        <v>1266588.31</v>
      </c>
      <c r="J530" s="8">
        <v>1266588.31</v>
      </c>
      <c r="L530" s="8">
        <v>1266588.31</v>
      </c>
      <c r="N530" s="8">
        <f t="shared" si="1"/>
        <v>0</v>
      </c>
      <c r="P530" s="8">
        <f t="shared" si="2"/>
        <v>0</v>
      </c>
    </row>
    <row r="531" spans="3:16" x14ac:dyDescent="0.25">
      <c r="D531" s="3" t="s">
        <v>756</v>
      </c>
      <c r="F531" s="7">
        <v>50213050</v>
      </c>
      <c r="H531" s="8">
        <v>1447831.62</v>
      </c>
      <c r="J531" s="8">
        <v>1447831.62</v>
      </c>
      <c r="L531" s="8">
        <v>1447831.62</v>
      </c>
      <c r="N531" s="8">
        <f t="shared" si="1"/>
        <v>0</v>
      </c>
      <c r="P531" s="8">
        <f t="shared" si="2"/>
        <v>0</v>
      </c>
    </row>
    <row r="532" spans="3:16" x14ac:dyDescent="0.25">
      <c r="D532" s="3" t="s">
        <v>72</v>
      </c>
      <c r="F532" s="7">
        <v>50213060</v>
      </c>
      <c r="H532" s="8">
        <v>11370140</v>
      </c>
      <c r="J532" s="8">
        <v>11370140</v>
      </c>
      <c r="L532" s="8">
        <v>11269764.15</v>
      </c>
      <c r="N532" s="8">
        <v>0</v>
      </c>
      <c r="P532" s="8">
        <v>100375.84999999963</v>
      </c>
    </row>
    <row r="533" spans="3:16" x14ac:dyDescent="0.25">
      <c r="D533" s="3" t="s">
        <v>73</v>
      </c>
      <c r="F533" s="7">
        <v>50216010</v>
      </c>
      <c r="H533" s="8">
        <v>8358.1200000000008</v>
      </c>
      <c r="J533" s="8">
        <v>8358.1200000000008</v>
      </c>
      <c r="L533" s="8">
        <v>8358.1200000000008</v>
      </c>
      <c r="N533" s="8">
        <f t="shared" si="1"/>
        <v>0</v>
      </c>
      <c r="P533" s="8">
        <f t="shared" si="2"/>
        <v>0</v>
      </c>
    </row>
    <row r="534" spans="3:16" x14ac:dyDescent="0.25">
      <c r="D534" s="3" t="s">
        <v>761</v>
      </c>
      <c r="F534" s="7">
        <v>50216020</v>
      </c>
      <c r="H534" s="8">
        <v>7500</v>
      </c>
      <c r="J534" s="8">
        <v>7500</v>
      </c>
      <c r="L534" s="8">
        <v>7500</v>
      </c>
      <c r="N534" s="8">
        <f t="shared" si="1"/>
        <v>0</v>
      </c>
      <c r="P534" s="8">
        <f t="shared" si="2"/>
        <v>0</v>
      </c>
    </row>
    <row r="535" spans="3:16" x14ac:dyDescent="0.25">
      <c r="D535" s="3" t="s">
        <v>74</v>
      </c>
      <c r="F535" s="7">
        <v>50216030</v>
      </c>
      <c r="H535" s="8">
        <v>10468921.57</v>
      </c>
      <c r="J535" s="8">
        <v>10468921.57</v>
      </c>
      <c r="L535" s="8">
        <v>10468921.57</v>
      </c>
      <c r="N535" s="8">
        <f t="shared" si="1"/>
        <v>0</v>
      </c>
      <c r="P535" s="8">
        <f t="shared" si="2"/>
        <v>0</v>
      </c>
    </row>
    <row r="536" spans="3:16" x14ac:dyDescent="0.25">
      <c r="D536" s="3" t="s">
        <v>41</v>
      </c>
      <c r="F536" s="7">
        <v>50299010</v>
      </c>
      <c r="H536" s="8">
        <v>100000</v>
      </c>
      <c r="J536" s="8">
        <v>100000</v>
      </c>
      <c r="L536" s="8">
        <v>100000</v>
      </c>
      <c r="N536" s="8">
        <f t="shared" si="1"/>
        <v>0</v>
      </c>
      <c r="P536" s="8">
        <f t="shared" si="2"/>
        <v>0</v>
      </c>
    </row>
    <row r="537" spans="3:16" x14ac:dyDescent="0.25">
      <c r="D537" s="3" t="s">
        <v>38</v>
      </c>
      <c r="F537" s="7">
        <v>50299030</v>
      </c>
      <c r="H537" s="8">
        <v>40000</v>
      </c>
      <c r="J537" s="8">
        <v>40000</v>
      </c>
      <c r="L537" s="8">
        <v>40000</v>
      </c>
      <c r="N537" s="8">
        <f t="shared" si="1"/>
        <v>0</v>
      </c>
      <c r="P537" s="8">
        <f t="shared" si="2"/>
        <v>0</v>
      </c>
    </row>
    <row r="538" spans="3:16" x14ac:dyDescent="0.25">
      <c r="D538" s="3" t="s">
        <v>42</v>
      </c>
      <c r="F538" s="7">
        <v>50299050</v>
      </c>
      <c r="H538" s="8">
        <v>38500</v>
      </c>
      <c r="J538" s="8">
        <v>38500</v>
      </c>
      <c r="L538" s="8">
        <v>38500</v>
      </c>
      <c r="N538" s="8">
        <f t="shared" si="1"/>
        <v>0</v>
      </c>
      <c r="P538" s="8">
        <f t="shared" si="2"/>
        <v>0</v>
      </c>
    </row>
    <row r="539" spans="3:16" x14ac:dyDescent="0.25">
      <c r="D539" s="3" t="s">
        <v>55</v>
      </c>
      <c r="F539" s="7">
        <v>50299070</v>
      </c>
      <c r="H539" s="8">
        <v>4664</v>
      </c>
      <c r="J539" s="8">
        <v>4664</v>
      </c>
      <c r="L539" s="8">
        <v>4664</v>
      </c>
      <c r="N539" s="8">
        <f t="shared" si="1"/>
        <v>0</v>
      </c>
      <c r="P539" s="8">
        <f t="shared" si="2"/>
        <v>0</v>
      </c>
    </row>
    <row r="540" spans="3:16" x14ac:dyDescent="0.25">
      <c r="C540" s="11" t="s">
        <v>177</v>
      </c>
    </row>
    <row r="541" spans="3:16" x14ac:dyDescent="0.25">
      <c r="C541" s="11" t="s">
        <v>75</v>
      </c>
      <c r="H541" s="17">
        <f>SUM(H542:H549)</f>
        <v>1654934</v>
      </c>
      <c r="J541" s="17">
        <f>SUM(J542:J549)</f>
        <v>1654934</v>
      </c>
      <c r="L541" s="17">
        <f>SUM(L542:L549)</f>
        <v>1652398</v>
      </c>
      <c r="N541" s="17">
        <f>SUM(N542:N549)</f>
        <v>0</v>
      </c>
      <c r="P541" s="17">
        <f>SUM(P542:P549)</f>
        <v>2536</v>
      </c>
    </row>
    <row r="542" spans="3:16" x14ac:dyDescent="0.25">
      <c r="D542" s="3" t="s">
        <v>36</v>
      </c>
      <c r="F542" s="7">
        <v>50203010</v>
      </c>
      <c r="H542" s="8">
        <v>202784</v>
      </c>
      <c r="J542" s="8">
        <v>202784</v>
      </c>
      <c r="L542" s="8">
        <v>202784</v>
      </c>
      <c r="N542" s="8">
        <v>0</v>
      </c>
      <c r="P542" s="8">
        <v>0</v>
      </c>
    </row>
    <row r="543" spans="3:16" x14ac:dyDescent="0.25">
      <c r="D543" s="3" t="s">
        <v>37</v>
      </c>
      <c r="F543" s="7">
        <v>50203990</v>
      </c>
      <c r="H543" s="8">
        <v>16000</v>
      </c>
      <c r="J543" s="8">
        <v>16000</v>
      </c>
      <c r="L543" s="8">
        <v>16000</v>
      </c>
      <c r="N543" s="8">
        <v>0</v>
      </c>
      <c r="P543" s="8">
        <v>0</v>
      </c>
    </row>
    <row r="544" spans="3:16" x14ac:dyDescent="0.25">
      <c r="D544" s="3" t="s">
        <v>21</v>
      </c>
      <c r="F544" s="7">
        <v>50204010</v>
      </c>
      <c r="H544" s="8">
        <v>5000</v>
      </c>
      <c r="J544" s="8">
        <v>5000</v>
      </c>
      <c r="L544" s="8">
        <v>2464</v>
      </c>
      <c r="N544" s="8">
        <v>0</v>
      </c>
      <c r="P544" s="8">
        <v>2536</v>
      </c>
    </row>
    <row r="545" spans="2:16" x14ac:dyDescent="0.25">
      <c r="D545" s="3" t="s">
        <v>22</v>
      </c>
      <c r="F545" s="7">
        <v>50205020</v>
      </c>
      <c r="H545" s="8">
        <v>6000</v>
      </c>
      <c r="J545" s="8">
        <v>6000</v>
      </c>
      <c r="L545" s="8">
        <v>6000</v>
      </c>
      <c r="N545" s="8">
        <v>0</v>
      </c>
      <c r="P545" s="8">
        <v>0</v>
      </c>
    </row>
    <row r="546" spans="2:16" x14ac:dyDescent="0.25">
      <c r="D546" s="3" t="s">
        <v>27</v>
      </c>
      <c r="F546" s="7">
        <v>50213050</v>
      </c>
      <c r="H546" s="8">
        <v>85874</v>
      </c>
      <c r="J546" s="8">
        <v>85874</v>
      </c>
      <c r="L546" s="8">
        <v>85874</v>
      </c>
      <c r="N546" s="8">
        <v>0</v>
      </c>
      <c r="P546" s="8">
        <v>0</v>
      </c>
    </row>
    <row r="547" spans="2:16" x14ac:dyDescent="0.25">
      <c r="D547" s="3" t="s">
        <v>41</v>
      </c>
      <c r="F547" s="7">
        <v>50299010</v>
      </c>
      <c r="H547" s="8">
        <v>279000</v>
      </c>
      <c r="J547" s="8">
        <v>279000</v>
      </c>
      <c r="L547" s="8">
        <v>279000</v>
      </c>
      <c r="N547" s="8">
        <v>0</v>
      </c>
      <c r="P547" s="8">
        <v>0</v>
      </c>
    </row>
    <row r="548" spans="2:16" x14ac:dyDescent="0.25">
      <c r="D548" s="3" t="s">
        <v>38</v>
      </c>
      <c r="F548" s="7">
        <v>50299030</v>
      </c>
      <c r="H548" s="8">
        <v>285950</v>
      </c>
      <c r="J548" s="8">
        <v>285950</v>
      </c>
      <c r="L548" s="8">
        <v>285950</v>
      </c>
      <c r="N548" s="8">
        <v>0</v>
      </c>
      <c r="P548" s="8">
        <v>0</v>
      </c>
    </row>
    <row r="549" spans="2:16" x14ac:dyDescent="0.25">
      <c r="D549" s="3" t="s">
        <v>76</v>
      </c>
      <c r="F549" s="7">
        <v>50299990</v>
      </c>
      <c r="H549" s="8">
        <v>774326</v>
      </c>
      <c r="J549" s="8">
        <v>774326</v>
      </c>
      <c r="L549" s="8">
        <v>774326</v>
      </c>
      <c r="N549" s="8">
        <v>0</v>
      </c>
      <c r="P549" s="8">
        <v>0</v>
      </c>
    </row>
    <row r="550" spans="2:16" x14ac:dyDescent="0.25">
      <c r="C550" s="11" t="s">
        <v>758</v>
      </c>
      <c r="H550" s="17">
        <f>SUM(H551:H552)</f>
        <v>262136.35</v>
      </c>
      <c r="J550" s="17">
        <f>SUM(J551:J552)</f>
        <v>262136.35</v>
      </c>
      <c r="L550" s="17">
        <f>SUM(L551:L552)</f>
        <v>262136.35</v>
      </c>
      <c r="N550" s="17">
        <f>SUM(N551:N552)</f>
        <v>0</v>
      </c>
      <c r="P550" s="17">
        <f>SUM(P551:P552)</f>
        <v>0</v>
      </c>
    </row>
    <row r="551" spans="2:16" x14ac:dyDescent="0.25">
      <c r="D551" s="3" t="s">
        <v>760</v>
      </c>
      <c r="F551" s="7">
        <v>50201010</v>
      </c>
      <c r="H551" s="8">
        <v>204536.35</v>
      </c>
      <c r="J551" s="8">
        <v>204536.35</v>
      </c>
      <c r="L551" s="8">
        <v>204536.35</v>
      </c>
      <c r="N551" s="8">
        <v>0</v>
      </c>
      <c r="P551" s="8">
        <v>0</v>
      </c>
    </row>
    <row r="552" spans="2:16" x14ac:dyDescent="0.25">
      <c r="D552" s="3" t="s">
        <v>19</v>
      </c>
      <c r="F552" s="7">
        <v>50202010</v>
      </c>
      <c r="H552" s="8">
        <v>57600</v>
      </c>
      <c r="J552" s="8">
        <v>57600</v>
      </c>
      <c r="L552" s="8">
        <v>57600</v>
      </c>
      <c r="N552" s="8">
        <v>0</v>
      </c>
      <c r="P552" s="8">
        <v>0</v>
      </c>
    </row>
    <row r="554" spans="2:16" x14ac:dyDescent="0.25">
      <c r="C554" s="11" t="s">
        <v>753</v>
      </c>
      <c r="H554" s="17">
        <f>+H523+H509</f>
        <v>39860444.910000004</v>
      </c>
      <c r="I554" s="8" t="s">
        <v>0</v>
      </c>
      <c r="J554" s="17">
        <f>+J523+J509</f>
        <v>39860444.910000004</v>
      </c>
      <c r="K554" s="8" t="s">
        <v>0</v>
      </c>
      <c r="L554" s="17">
        <f>+L523+L509</f>
        <v>39726171.329999998</v>
      </c>
      <c r="M554" s="8" t="s">
        <v>0</v>
      </c>
      <c r="N554" s="17">
        <f>+N523+N509</f>
        <v>0</v>
      </c>
      <c r="O554" s="8" t="s">
        <v>0</v>
      </c>
      <c r="P554" s="17">
        <f>+P523+P509</f>
        <v>134273.57999999964</v>
      </c>
    </row>
    <row r="556" spans="2:16" x14ac:dyDescent="0.25">
      <c r="B556" s="11" t="s">
        <v>252</v>
      </c>
      <c r="F556" s="7" t="s">
        <v>253</v>
      </c>
    </row>
    <row r="557" spans="2:16" x14ac:dyDescent="0.25">
      <c r="B557" s="11" t="s">
        <v>160</v>
      </c>
      <c r="F557" s="7">
        <v>100</v>
      </c>
      <c r="H557" s="17">
        <f>SUM(H558:H572)</f>
        <v>5067845.96</v>
      </c>
      <c r="J557" s="17">
        <f>SUM(J558:J572)</f>
        <v>5067845.96</v>
      </c>
      <c r="L557" s="17">
        <f>SUM(L558:L572)</f>
        <v>5067845.96</v>
      </c>
      <c r="N557" s="17">
        <f>SUM(N558:N572)</f>
        <v>0</v>
      </c>
      <c r="P557" s="17">
        <f>SUM(P558:P572)</f>
        <v>0</v>
      </c>
    </row>
    <row r="558" spans="2:16" x14ac:dyDescent="0.25">
      <c r="D558" s="3" t="s">
        <v>8</v>
      </c>
      <c r="F558" s="7">
        <v>50101010</v>
      </c>
      <c r="H558" s="8">
        <v>3490586.38</v>
      </c>
      <c r="J558" s="8">
        <v>3490586.38</v>
      </c>
      <c r="L558" s="8">
        <v>3490586.38</v>
      </c>
      <c r="N558" s="8">
        <v>0</v>
      </c>
      <c r="P558" s="8">
        <v>0</v>
      </c>
    </row>
    <row r="559" spans="2:16" x14ac:dyDescent="0.25">
      <c r="D559" s="3" t="s">
        <v>162</v>
      </c>
      <c r="F559" s="7">
        <v>50102010</v>
      </c>
      <c r="H559" s="8">
        <v>178000</v>
      </c>
      <c r="J559" s="8">
        <v>178000</v>
      </c>
      <c r="L559" s="8">
        <v>178000</v>
      </c>
      <c r="N559" s="8">
        <v>0</v>
      </c>
      <c r="P559" s="8">
        <v>0</v>
      </c>
    </row>
    <row r="560" spans="2:16" x14ac:dyDescent="0.25">
      <c r="D560" s="3" t="s">
        <v>776</v>
      </c>
      <c r="F560" s="7">
        <v>50102020</v>
      </c>
      <c r="H560" s="8">
        <v>101875</v>
      </c>
      <c r="J560" s="8">
        <v>101875</v>
      </c>
      <c r="L560" s="8">
        <v>101875</v>
      </c>
      <c r="N560" s="8">
        <v>0</v>
      </c>
      <c r="P560" s="8">
        <v>0</v>
      </c>
    </row>
    <row r="561" spans="2:16" x14ac:dyDescent="0.25">
      <c r="D561" s="3" t="s">
        <v>60</v>
      </c>
      <c r="F561" s="7">
        <v>50102030</v>
      </c>
      <c r="H561" s="8">
        <v>86250</v>
      </c>
      <c r="J561" s="8">
        <v>86250</v>
      </c>
      <c r="L561" s="8">
        <v>86250</v>
      </c>
      <c r="N561" s="8">
        <v>0</v>
      </c>
      <c r="P561" s="8">
        <v>0</v>
      </c>
    </row>
    <row r="562" spans="2:16" x14ac:dyDescent="0.25">
      <c r="D562" s="3" t="s">
        <v>11</v>
      </c>
      <c r="F562" s="7">
        <v>50102040</v>
      </c>
      <c r="H562" s="8">
        <v>30000</v>
      </c>
      <c r="J562" s="8">
        <v>30000</v>
      </c>
      <c r="L562" s="8">
        <v>30000</v>
      </c>
      <c r="N562" s="8">
        <v>0</v>
      </c>
      <c r="P562" s="8">
        <v>0</v>
      </c>
    </row>
    <row r="563" spans="2:16" x14ac:dyDescent="0.25">
      <c r="D563" s="3" t="s">
        <v>61</v>
      </c>
      <c r="F563" s="7">
        <v>50102120</v>
      </c>
      <c r="H563" s="8">
        <v>5000</v>
      </c>
      <c r="J563" s="8">
        <v>5000</v>
      </c>
      <c r="L563" s="8">
        <v>5000</v>
      </c>
      <c r="N563" s="8">
        <v>0</v>
      </c>
      <c r="P563" s="8">
        <v>0</v>
      </c>
    </row>
    <row r="564" spans="2:16" x14ac:dyDescent="0.25">
      <c r="D564" s="3" t="s">
        <v>77</v>
      </c>
      <c r="F564" s="7">
        <v>50102130</v>
      </c>
      <c r="H564" s="8">
        <v>40000</v>
      </c>
      <c r="J564" s="8">
        <v>40000</v>
      </c>
      <c r="L564" s="8">
        <v>40000</v>
      </c>
      <c r="N564" s="8">
        <v>0</v>
      </c>
      <c r="P564" s="8">
        <v>0</v>
      </c>
    </row>
    <row r="565" spans="2:16" x14ac:dyDescent="0.25">
      <c r="D565" s="3" t="s">
        <v>78</v>
      </c>
      <c r="F565" s="7">
        <v>50102130</v>
      </c>
      <c r="H565" s="8">
        <v>20000</v>
      </c>
      <c r="J565" s="8">
        <v>20000</v>
      </c>
      <c r="L565" s="8">
        <v>20000</v>
      </c>
      <c r="N565" s="8">
        <v>0</v>
      </c>
      <c r="P565" s="8">
        <v>0</v>
      </c>
    </row>
    <row r="566" spans="2:16" x14ac:dyDescent="0.25">
      <c r="D566" s="3" t="s">
        <v>12</v>
      </c>
      <c r="F566" s="7">
        <v>50102140</v>
      </c>
      <c r="H566" s="8">
        <v>564387</v>
      </c>
      <c r="J566" s="8">
        <v>564387</v>
      </c>
      <c r="L566" s="8">
        <v>564387</v>
      </c>
      <c r="N566" s="8">
        <v>0</v>
      </c>
      <c r="P566" s="8">
        <v>0</v>
      </c>
    </row>
    <row r="567" spans="2:16" x14ac:dyDescent="0.25">
      <c r="D567" s="3" t="s">
        <v>13</v>
      </c>
      <c r="F567" s="7">
        <v>50102150</v>
      </c>
      <c r="H567" s="8">
        <v>40000</v>
      </c>
      <c r="J567" s="8">
        <v>40000</v>
      </c>
      <c r="L567" s="8">
        <v>40000</v>
      </c>
      <c r="N567" s="8">
        <v>0</v>
      </c>
      <c r="P567" s="8">
        <v>0</v>
      </c>
    </row>
    <row r="568" spans="2:16" x14ac:dyDescent="0.25">
      <c r="D568" s="3" t="s">
        <v>164</v>
      </c>
      <c r="F568" s="7">
        <v>50103010</v>
      </c>
      <c r="H568" s="8">
        <v>421291.84</v>
      </c>
      <c r="J568" s="8">
        <v>421291.84</v>
      </c>
      <c r="L568" s="8">
        <v>421291.84</v>
      </c>
      <c r="N568" s="8">
        <v>0</v>
      </c>
      <c r="P568" s="8">
        <v>0</v>
      </c>
    </row>
    <row r="569" spans="2:16" x14ac:dyDescent="0.25">
      <c r="D569" s="3" t="s">
        <v>14</v>
      </c>
      <c r="F569" s="7">
        <v>50103020</v>
      </c>
      <c r="H569" s="8">
        <v>8900</v>
      </c>
      <c r="J569" s="8">
        <v>8900</v>
      </c>
      <c r="L569" s="8">
        <v>8900</v>
      </c>
      <c r="N569" s="8">
        <v>0</v>
      </c>
      <c r="P569" s="8">
        <v>0</v>
      </c>
    </row>
    <row r="570" spans="2:16" x14ac:dyDescent="0.25">
      <c r="D570" s="3" t="s">
        <v>15</v>
      </c>
      <c r="F570" s="7">
        <v>50103030</v>
      </c>
      <c r="H570" s="8">
        <v>32655.74</v>
      </c>
      <c r="J570" s="8">
        <v>32655.74</v>
      </c>
      <c r="L570" s="8">
        <v>32655.74</v>
      </c>
      <c r="N570" s="8">
        <v>0</v>
      </c>
      <c r="P570" s="8">
        <v>0</v>
      </c>
    </row>
    <row r="571" spans="2:16" x14ac:dyDescent="0.25">
      <c r="D571" s="3" t="s">
        <v>165</v>
      </c>
      <c r="F571" s="7">
        <v>50103040</v>
      </c>
      <c r="H571" s="8">
        <v>8900</v>
      </c>
      <c r="J571" s="8">
        <v>8900</v>
      </c>
      <c r="L571" s="8">
        <v>8900</v>
      </c>
      <c r="N571" s="8">
        <v>0</v>
      </c>
      <c r="P571" s="8">
        <v>0</v>
      </c>
    </row>
    <row r="572" spans="2:16" x14ac:dyDescent="0.25">
      <c r="D572" s="3" t="s">
        <v>16</v>
      </c>
      <c r="F572" s="7">
        <v>50104990</v>
      </c>
      <c r="H572" s="8">
        <v>40000</v>
      </c>
      <c r="J572" s="8">
        <v>40000</v>
      </c>
      <c r="L572" s="8">
        <v>40000</v>
      </c>
      <c r="N572" s="8">
        <v>0</v>
      </c>
      <c r="P572" s="8">
        <v>0</v>
      </c>
    </row>
    <row r="573" spans="2:16" x14ac:dyDescent="0.25">
      <c r="B573" s="11" t="s">
        <v>166</v>
      </c>
      <c r="F573" s="7">
        <v>200</v>
      </c>
      <c r="H573" s="17">
        <f>SUM(H574:H580,H582)</f>
        <v>413745</v>
      </c>
      <c r="J573" s="17">
        <f>SUM(J574:J580,J582)</f>
        <v>413745</v>
      </c>
      <c r="L573" s="17">
        <f>SUM(L574:L580,L582)</f>
        <v>411421</v>
      </c>
      <c r="N573" s="17">
        <f>SUM(N574:N580,N582)</f>
        <v>0</v>
      </c>
      <c r="P573" s="17">
        <f>SUM(P574:P580,P582)</f>
        <v>2324</v>
      </c>
    </row>
    <row r="574" spans="2:16" x14ac:dyDescent="0.25">
      <c r="D574" s="3" t="s">
        <v>21</v>
      </c>
      <c r="F574" s="7">
        <v>50204010</v>
      </c>
      <c r="H574" s="8">
        <v>8000</v>
      </c>
      <c r="J574" s="8">
        <v>8000</v>
      </c>
      <c r="L574" s="8">
        <v>5676</v>
      </c>
      <c r="N574" s="8">
        <v>0</v>
      </c>
      <c r="P574" s="8">
        <v>2324</v>
      </c>
    </row>
    <row r="575" spans="2:16" x14ac:dyDescent="0.25">
      <c r="D575" s="3" t="s">
        <v>22</v>
      </c>
      <c r="F575" s="7">
        <v>50205020</v>
      </c>
      <c r="H575" s="8">
        <v>82500</v>
      </c>
      <c r="J575" s="8">
        <v>82500</v>
      </c>
      <c r="L575" s="8">
        <v>82500</v>
      </c>
      <c r="N575" s="8">
        <v>0</v>
      </c>
      <c r="P575" s="8">
        <v>0</v>
      </c>
    </row>
    <row r="576" spans="2:16" x14ac:dyDescent="0.25">
      <c r="D576" s="3" t="s">
        <v>756</v>
      </c>
      <c r="F576" s="7">
        <v>50213050</v>
      </c>
      <c r="H576" s="8">
        <v>68627</v>
      </c>
      <c r="J576" s="8">
        <v>68627</v>
      </c>
      <c r="L576" s="8">
        <v>68627</v>
      </c>
      <c r="N576" s="8">
        <v>0</v>
      </c>
      <c r="P576" s="8">
        <v>0</v>
      </c>
    </row>
    <row r="577" spans="2:16" x14ac:dyDescent="0.25">
      <c r="D577" s="3" t="s">
        <v>761</v>
      </c>
      <c r="F577" s="7">
        <v>50216020</v>
      </c>
      <c r="H577" s="8">
        <v>1500</v>
      </c>
      <c r="J577" s="8">
        <v>1500</v>
      </c>
      <c r="L577" s="8">
        <v>1500</v>
      </c>
      <c r="N577" s="8">
        <v>0</v>
      </c>
      <c r="P577" s="8">
        <v>0</v>
      </c>
    </row>
    <row r="578" spans="2:16" x14ac:dyDescent="0.25">
      <c r="D578" s="3" t="s">
        <v>83</v>
      </c>
      <c r="F578" s="7">
        <v>50299020</v>
      </c>
      <c r="H578" s="8">
        <v>7100</v>
      </c>
      <c r="J578" s="8">
        <v>7100</v>
      </c>
      <c r="L578" s="8">
        <v>7100</v>
      </c>
      <c r="N578" s="8">
        <v>0</v>
      </c>
      <c r="P578" s="8">
        <v>0</v>
      </c>
    </row>
    <row r="579" spans="2:16" x14ac:dyDescent="0.25">
      <c r="D579" s="3" t="s">
        <v>38</v>
      </c>
      <c r="F579" s="7">
        <v>50299030</v>
      </c>
      <c r="H579" s="8">
        <v>64975</v>
      </c>
      <c r="J579" s="8">
        <v>64975</v>
      </c>
      <c r="L579" s="8">
        <v>64975</v>
      </c>
      <c r="N579" s="8">
        <v>0</v>
      </c>
      <c r="P579" s="8">
        <v>0</v>
      </c>
    </row>
    <row r="580" spans="2:16" x14ac:dyDescent="0.25">
      <c r="D580" s="3" t="s">
        <v>55</v>
      </c>
      <c r="F580" s="7">
        <v>50299070</v>
      </c>
      <c r="H580" s="8">
        <v>5148</v>
      </c>
      <c r="J580" s="8">
        <v>5148</v>
      </c>
      <c r="L580" s="8">
        <v>5148</v>
      </c>
      <c r="N580" s="8">
        <v>0</v>
      </c>
      <c r="P580" s="8">
        <v>0</v>
      </c>
    </row>
    <row r="581" spans="2:16" x14ac:dyDescent="0.25">
      <c r="C581" s="11" t="s">
        <v>256</v>
      </c>
    </row>
    <row r="582" spans="2:16" x14ac:dyDescent="0.25">
      <c r="C582" s="11" t="s">
        <v>254</v>
      </c>
      <c r="H582" s="17">
        <f>SUM(H583:H586)</f>
        <v>175895</v>
      </c>
      <c r="J582" s="17">
        <f>SUM(J583:J586)</f>
        <v>175895</v>
      </c>
      <c r="L582" s="17">
        <f>SUM(L583:L586)</f>
        <v>175895</v>
      </c>
      <c r="N582" s="17">
        <f>SUM(N583:N586)</f>
        <v>0</v>
      </c>
      <c r="P582" s="17">
        <f>SUM(P583:P586)</f>
        <v>0</v>
      </c>
    </row>
    <row r="583" spans="2:16" x14ac:dyDescent="0.25">
      <c r="D583" s="3" t="s">
        <v>760</v>
      </c>
      <c r="F583" s="7">
        <v>50201010</v>
      </c>
      <c r="H583" s="8">
        <v>36160</v>
      </c>
      <c r="J583" s="8">
        <v>36160</v>
      </c>
      <c r="L583" s="8">
        <v>36160</v>
      </c>
      <c r="N583" s="8">
        <v>0</v>
      </c>
      <c r="P583" s="8">
        <v>0</v>
      </c>
    </row>
    <row r="584" spans="2:16" x14ac:dyDescent="0.25">
      <c r="D584" s="3" t="s">
        <v>19</v>
      </c>
      <c r="F584" s="7">
        <v>50202010</v>
      </c>
      <c r="H584" s="8">
        <v>70000</v>
      </c>
      <c r="J584" s="8">
        <v>70000</v>
      </c>
      <c r="L584" s="8">
        <v>70000</v>
      </c>
      <c r="N584" s="8">
        <v>0</v>
      </c>
      <c r="P584" s="8">
        <v>0</v>
      </c>
    </row>
    <row r="585" spans="2:16" x14ac:dyDescent="0.25">
      <c r="D585" s="3" t="s">
        <v>36</v>
      </c>
      <c r="F585" s="7">
        <v>50203010</v>
      </c>
      <c r="H585" s="8">
        <v>49760</v>
      </c>
      <c r="J585" s="8">
        <v>49760</v>
      </c>
      <c r="L585" s="8">
        <v>49760</v>
      </c>
      <c r="N585" s="8">
        <v>0</v>
      </c>
      <c r="P585" s="8">
        <v>0</v>
      </c>
    </row>
    <row r="586" spans="2:16" x14ac:dyDescent="0.25">
      <c r="D586" s="3" t="s">
        <v>38</v>
      </c>
      <c r="F586" s="7">
        <v>50299030</v>
      </c>
      <c r="H586" s="8">
        <v>19975</v>
      </c>
      <c r="J586" s="8">
        <v>19975</v>
      </c>
      <c r="L586" s="8">
        <v>19975</v>
      </c>
      <c r="N586" s="8">
        <v>0</v>
      </c>
      <c r="P586" s="8">
        <v>0</v>
      </c>
    </row>
    <row r="588" spans="2:16" x14ac:dyDescent="0.25">
      <c r="C588" s="11" t="s">
        <v>255</v>
      </c>
      <c r="H588" s="17">
        <f>+H573+H557</f>
        <v>5481590.96</v>
      </c>
      <c r="I588" s="8" t="s">
        <v>0</v>
      </c>
      <c r="J588" s="17">
        <f>+J573+J557</f>
        <v>5481590.96</v>
      </c>
      <c r="K588" s="8" t="s">
        <v>0</v>
      </c>
      <c r="L588" s="17">
        <f>+L573+L557</f>
        <v>5479266.96</v>
      </c>
      <c r="M588" s="8" t="s">
        <v>0</v>
      </c>
      <c r="N588" s="17">
        <f>+N573+N557</f>
        <v>0</v>
      </c>
      <c r="O588" s="8" t="s">
        <v>0</v>
      </c>
      <c r="P588" s="17">
        <f>+P573+P557</f>
        <v>2324</v>
      </c>
    </row>
    <row r="590" spans="2:16" x14ac:dyDescent="0.25">
      <c r="B590" s="11" t="s">
        <v>257</v>
      </c>
      <c r="F590" s="7" t="s">
        <v>258</v>
      </c>
    </row>
    <row r="591" spans="2:16" x14ac:dyDescent="0.25">
      <c r="B591" s="11" t="s">
        <v>160</v>
      </c>
      <c r="F591" s="7">
        <v>100</v>
      </c>
      <c r="H591" s="17">
        <f>SUM(H592:H605)</f>
        <v>6858946.5099999998</v>
      </c>
      <c r="J591" s="17">
        <f>SUM(J592:J605)</f>
        <v>6858946.5099999998</v>
      </c>
      <c r="L591" s="17">
        <f>SUM(L592:L605)</f>
        <v>6858946.5099999998</v>
      </c>
      <c r="N591" s="17">
        <f>SUM(N592:N605)</f>
        <v>0</v>
      </c>
      <c r="P591" s="17">
        <f>SUM(P592:P605)</f>
        <v>0</v>
      </c>
    </row>
    <row r="592" spans="2:16" x14ac:dyDescent="0.25">
      <c r="D592" s="3" t="s">
        <v>8</v>
      </c>
      <c r="F592" s="7">
        <v>50101010</v>
      </c>
      <c r="H592" s="8">
        <v>4589833.8499999996</v>
      </c>
      <c r="J592" s="8">
        <v>4589833.8499999996</v>
      </c>
      <c r="L592" s="8">
        <v>4589833.8499999996</v>
      </c>
      <c r="N592" s="8">
        <v>0</v>
      </c>
      <c r="P592" s="8">
        <v>0</v>
      </c>
    </row>
    <row r="593" spans="2:16" x14ac:dyDescent="0.25">
      <c r="D593" s="3" t="s">
        <v>162</v>
      </c>
      <c r="F593" s="7">
        <v>50102010</v>
      </c>
      <c r="H593" s="8">
        <v>272556.78999999998</v>
      </c>
      <c r="J593" s="8">
        <v>272556.78999999998</v>
      </c>
      <c r="L593" s="8">
        <v>272556.78999999998</v>
      </c>
      <c r="N593" s="8">
        <v>0</v>
      </c>
      <c r="P593" s="8">
        <v>0</v>
      </c>
    </row>
    <row r="594" spans="2:16" x14ac:dyDescent="0.25">
      <c r="D594" s="3" t="s">
        <v>776</v>
      </c>
      <c r="F594" s="7">
        <v>50102020</v>
      </c>
      <c r="H594" s="8">
        <v>102000</v>
      </c>
      <c r="J594" s="8">
        <v>102000</v>
      </c>
      <c r="L594" s="8">
        <v>102000</v>
      </c>
      <c r="N594" s="8">
        <v>0</v>
      </c>
      <c r="P594" s="8">
        <v>0</v>
      </c>
    </row>
    <row r="595" spans="2:16" x14ac:dyDescent="0.25">
      <c r="D595" s="3" t="s">
        <v>60</v>
      </c>
      <c r="F595" s="7">
        <v>50102030</v>
      </c>
      <c r="H595" s="8">
        <v>90000</v>
      </c>
      <c r="J595" s="8">
        <v>90000</v>
      </c>
      <c r="L595" s="8">
        <v>90000</v>
      </c>
      <c r="N595" s="8">
        <v>0</v>
      </c>
      <c r="P595" s="8">
        <v>0</v>
      </c>
    </row>
    <row r="596" spans="2:16" x14ac:dyDescent="0.25">
      <c r="D596" s="3" t="s">
        <v>11</v>
      </c>
      <c r="F596" s="7">
        <v>50102040</v>
      </c>
      <c r="H596" s="8">
        <v>55000</v>
      </c>
      <c r="J596" s="8">
        <v>55000</v>
      </c>
      <c r="L596" s="8">
        <v>55000</v>
      </c>
      <c r="N596" s="8">
        <v>0</v>
      </c>
      <c r="P596" s="8">
        <v>0</v>
      </c>
    </row>
    <row r="597" spans="2:16" x14ac:dyDescent="0.25">
      <c r="D597" s="3" t="s">
        <v>61</v>
      </c>
      <c r="F597" s="7">
        <v>50102120</v>
      </c>
      <c r="H597" s="8">
        <v>15000</v>
      </c>
      <c r="J597" s="8">
        <v>15000</v>
      </c>
      <c r="L597" s="8">
        <v>15000</v>
      </c>
      <c r="N597" s="8">
        <v>0</v>
      </c>
      <c r="P597" s="8">
        <v>0</v>
      </c>
    </row>
    <row r="598" spans="2:16" x14ac:dyDescent="0.25">
      <c r="D598" s="3" t="s">
        <v>77</v>
      </c>
      <c r="F598" s="7">
        <v>50102130</v>
      </c>
      <c r="H598" s="8">
        <v>250000</v>
      </c>
      <c r="J598" s="8">
        <v>250000</v>
      </c>
      <c r="L598" s="8">
        <v>250000</v>
      </c>
      <c r="N598" s="8">
        <v>0</v>
      </c>
      <c r="O598" s="8">
        <v>0</v>
      </c>
      <c r="P598" s="8">
        <v>0</v>
      </c>
    </row>
    <row r="599" spans="2:16" x14ac:dyDescent="0.25">
      <c r="D599" s="3" t="s">
        <v>12</v>
      </c>
      <c r="F599" s="7">
        <v>50102140</v>
      </c>
      <c r="H599" s="8">
        <v>756365</v>
      </c>
      <c r="J599" s="8">
        <v>756365</v>
      </c>
      <c r="L599" s="8">
        <v>756365</v>
      </c>
      <c r="N599" s="8">
        <v>0</v>
      </c>
      <c r="P599" s="8">
        <v>0</v>
      </c>
    </row>
    <row r="600" spans="2:16" x14ac:dyDescent="0.25">
      <c r="D600" s="3" t="s">
        <v>13</v>
      </c>
      <c r="F600" s="7">
        <v>50102150</v>
      </c>
      <c r="H600" s="8">
        <v>55000</v>
      </c>
      <c r="J600" s="8">
        <v>55000</v>
      </c>
      <c r="L600" s="8">
        <v>55000</v>
      </c>
      <c r="N600" s="8">
        <v>0</v>
      </c>
      <c r="P600" s="8">
        <v>0</v>
      </c>
    </row>
    <row r="601" spans="2:16" x14ac:dyDescent="0.25">
      <c r="D601" s="3" t="s">
        <v>164</v>
      </c>
      <c r="F601" s="7">
        <v>50103010</v>
      </c>
      <c r="H601" s="8">
        <v>547653.37</v>
      </c>
      <c r="J601" s="8">
        <v>547653.37</v>
      </c>
      <c r="L601" s="8">
        <v>547653.37</v>
      </c>
      <c r="N601" s="8">
        <v>0</v>
      </c>
      <c r="P601" s="8">
        <v>0</v>
      </c>
    </row>
    <row r="602" spans="2:16" x14ac:dyDescent="0.25">
      <c r="D602" s="3" t="s">
        <v>14</v>
      </c>
      <c r="F602" s="7">
        <v>50103020</v>
      </c>
      <c r="H602" s="8">
        <v>13600</v>
      </c>
      <c r="J602" s="8">
        <v>13600</v>
      </c>
      <c r="L602" s="8">
        <v>13600</v>
      </c>
      <c r="N602" s="8">
        <v>0</v>
      </c>
      <c r="P602" s="8">
        <v>0</v>
      </c>
    </row>
    <row r="603" spans="2:16" x14ac:dyDescent="0.25">
      <c r="D603" s="3" t="s">
        <v>15</v>
      </c>
      <c r="F603" s="7">
        <v>50103030</v>
      </c>
      <c r="H603" s="8">
        <v>43337.5</v>
      </c>
      <c r="J603" s="8">
        <v>43337.5</v>
      </c>
      <c r="L603" s="8">
        <v>43337.5</v>
      </c>
      <c r="N603" s="8">
        <v>0</v>
      </c>
      <c r="P603" s="8">
        <v>0</v>
      </c>
    </row>
    <row r="604" spans="2:16" x14ac:dyDescent="0.25">
      <c r="D604" s="3" t="s">
        <v>165</v>
      </c>
      <c r="F604" s="7">
        <v>50103040</v>
      </c>
      <c r="H604" s="8">
        <v>13600</v>
      </c>
      <c r="J604" s="8">
        <v>13600</v>
      </c>
      <c r="L604" s="8">
        <v>13600</v>
      </c>
      <c r="N604" s="8">
        <v>0</v>
      </c>
      <c r="P604" s="8">
        <v>0</v>
      </c>
    </row>
    <row r="605" spans="2:16" x14ac:dyDescent="0.25">
      <c r="D605" s="3" t="s">
        <v>16</v>
      </c>
      <c r="F605" s="7">
        <v>50104990</v>
      </c>
      <c r="H605" s="8">
        <v>55000</v>
      </c>
      <c r="J605" s="8">
        <v>55000</v>
      </c>
      <c r="L605" s="8">
        <v>55000</v>
      </c>
      <c r="N605" s="8">
        <v>0</v>
      </c>
      <c r="P605" s="8">
        <v>0</v>
      </c>
    </row>
    <row r="606" spans="2:16" x14ac:dyDescent="0.25">
      <c r="B606" s="11" t="s">
        <v>166</v>
      </c>
      <c r="F606" s="7">
        <v>200</v>
      </c>
      <c r="H606" s="17">
        <f>SUM(H607:H614)</f>
        <v>404555.5</v>
      </c>
      <c r="J606" s="17">
        <f>SUM(J607:J614)</f>
        <v>404555.5</v>
      </c>
      <c r="L606" s="17">
        <f>SUM(L607:L614)</f>
        <v>398451.5</v>
      </c>
      <c r="N606" s="17">
        <f>SUM(N607:N614)</f>
        <v>0</v>
      </c>
      <c r="P606" s="17">
        <f>SUM(P607:P614)</f>
        <v>6104</v>
      </c>
    </row>
    <row r="607" spans="2:16" x14ac:dyDescent="0.25">
      <c r="D607" s="3" t="s">
        <v>36</v>
      </c>
      <c r="F607" s="7">
        <v>50203010</v>
      </c>
      <c r="H607" s="8">
        <v>11250</v>
      </c>
      <c r="J607" s="8">
        <v>11250</v>
      </c>
      <c r="L607" s="8">
        <v>11250</v>
      </c>
      <c r="N607" s="8">
        <v>0</v>
      </c>
      <c r="P607" s="8">
        <v>0</v>
      </c>
    </row>
    <row r="608" spans="2:16" x14ac:dyDescent="0.25">
      <c r="D608" s="3" t="s">
        <v>37</v>
      </c>
      <c r="F608" s="7">
        <v>50203990</v>
      </c>
      <c r="H608" s="8">
        <v>102000</v>
      </c>
      <c r="J608" s="8">
        <v>102000</v>
      </c>
      <c r="L608" s="8">
        <v>102000</v>
      </c>
      <c r="N608" s="8">
        <v>0</v>
      </c>
      <c r="P608" s="8">
        <v>0</v>
      </c>
    </row>
    <row r="609" spans="2:16" x14ac:dyDescent="0.25">
      <c r="D609" s="3" t="s">
        <v>21</v>
      </c>
      <c r="F609" s="7">
        <v>50204010</v>
      </c>
      <c r="H609" s="8">
        <v>23000</v>
      </c>
      <c r="J609" s="8">
        <v>23000</v>
      </c>
      <c r="L609" s="8">
        <v>16896</v>
      </c>
      <c r="N609" s="8">
        <v>0</v>
      </c>
      <c r="P609" s="8">
        <v>6104</v>
      </c>
    </row>
    <row r="610" spans="2:16" x14ac:dyDescent="0.25">
      <c r="D610" s="3" t="s">
        <v>22</v>
      </c>
      <c r="F610" s="7">
        <v>50205020</v>
      </c>
      <c r="H610" s="8">
        <v>84000</v>
      </c>
      <c r="J610" s="8">
        <v>84000</v>
      </c>
      <c r="L610" s="8">
        <v>84000</v>
      </c>
      <c r="N610" s="8">
        <v>0</v>
      </c>
      <c r="P610" s="8">
        <v>0</v>
      </c>
    </row>
    <row r="611" spans="2:16" x14ac:dyDescent="0.25">
      <c r="D611" s="3" t="s">
        <v>251</v>
      </c>
      <c r="F611" s="7">
        <v>50213050</v>
      </c>
      <c r="H611" s="8">
        <v>51615</v>
      </c>
      <c r="J611" s="8">
        <v>51615</v>
      </c>
      <c r="L611" s="8">
        <v>51615</v>
      </c>
      <c r="N611" s="8">
        <v>0</v>
      </c>
      <c r="P611" s="8">
        <v>0</v>
      </c>
    </row>
    <row r="612" spans="2:16" x14ac:dyDescent="0.25">
      <c r="D612" s="3" t="s">
        <v>761</v>
      </c>
      <c r="F612" s="7">
        <v>50216020</v>
      </c>
      <c r="H612" s="8">
        <v>1500</v>
      </c>
      <c r="J612" s="8">
        <v>1500</v>
      </c>
      <c r="L612" s="8">
        <v>1500</v>
      </c>
      <c r="N612" s="8">
        <v>0</v>
      </c>
      <c r="P612" s="8">
        <v>0</v>
      </c>
    </row>
    <row r="613" spans="2:16" x14ac:dyDescent="0.25">
      <c r="D613" s="3" t="s">
        <v>83</v>
      </c>
      <c r="F613" s="7">
        <v>50299020</v>
      </c>
      <c r="H613" s="8">
        <v>125976.5</v>
      </c>
      <c r="J613" s="8">
        <v>125976.5</v>
      </c>
      <c r="L613" s="8">
        <v>125976.5</v>
      </c>
      <c r="N613" s="8">
        <v>0</v>
      </c>
      <c r="P613" s="8">
        <v>0</v>
      </c>
    </row>
    <row r="614" spans="2:16" x14ac:dyDescent="0.25">
      <c r="D614" s="3" t="s">
        <v>55</v>
      </c>
      <c r="F614" s="7">
        <v>50299070</v>
      </c>
      <c r="H614" s="8">
        <v>5214</v>
      </c>
      <c r="J614" s="8">
        <v>5214</v>
      </c>
      <c r="L614" s="8">
        <v>5214</v>
      </c>
      <c r="N614" s="8">
        <v>0</v>
      </c>
      <c r="P614" s="8">
        <v>0</v>
      </c>
    </row>
    <row r="616" spans="2:16" x14ac:dyDescent="0.25">
      <c r="B616" s="11" t="s">
        <v>208</v>
      </c>
      <c r="F616" s="7">
        <v>300</v>
      </c>
    </row>
    <row r="617" spans="2:16" x14ac:dyDescent="0.25">
      <c r="D617" s="3" t="s">
        <v>260</v>
      </c>
      <c r="F617" s="7">
        <v>10705030</v>
      </c>
      <c r="H617" s="17">
        <v>100000</v>
      </c>
      <c r="J617" s="17">
        <v>100000</v>
      </c>
      <c r="L617" s="17">
        <v>99800</v>
      </c>
      <c r="N617" s="17">
        <v>0</v>
      </c>
      <c r="P617" s="17">
        <v>200</v>
      </c>
    </row>
    <row r="619" spans="2:16" x14ac:dyDescent="0.25">
      <c r="C619" s="11" t="s">
        <v>259</v>
      </c>
      <c r="H619" s="17">
        <f>+H617+H606+H591</f>
        <v>7363502.0099999998</v>
      </c>
      <c r="I619" s="8" t="s">
        <v>0</v>
      </c>
      <c r="J619" s="17">
        <f>+J617+J606+J591</f>
        <v>7363502.0099999998</v>
      </c>
      <c r="K619" s="8" t="s">
        <v>0</v>
      </c>
      <c r="L619" s="17">
        <f>+L617+L606+L591</f>
        <v>7357198.0099999998</v>
      </c>
      <c r="M619" s="8" t="s">
        <v>0</v>
      </c>
      <c r="N619" s="17">
        <f>+N617+N606+N591</f>
        <v>0</v>
      </c>
      <c r="O619" s="8" t="s">
        <v>0</v>
      </c>
      <c r="P619" s="17">
        <f>+P617+P606+P591</f>
        <v>6304</v>
      </c>
    </row>
    <row r="621" spans="2:16" x14ac:dyDescent="0.25">
      <c r="B621" s="11" t="s">
        <v>261</v>
      </c>
      <c r="F621" s="7" t="s">
        <v>262</v>
      </c>
    </row>
    <row r="622" spans="2:16" x14ac:dyDescent="0.25">
      <c r="B622" s="11" t="s">
        <v>160</v>
      </c>
      <c r="F622" s="7">
        <v>100</v>
      </c>
      <c r="H622" s="17">
        <f>SUM(H623:H636)</f>
        <v>11184417.84</v>
      </c>
      <c r="J622" s="17">
        <f>SUM(J623:J636)</f>
        <v>11184417.84</v>
      </c>
      <c r="L622" s="17">
        <f>SUM(L623:L636)</f>
        <v>10698539.280000001</v>
      </c>
      <c r="N622" s="17">
        <f>SUM(N623:N636)</f>
        <v>0</v>
      </c>
      <c r="P622" s="17">
        <f>SUM(P623:P636)</f>
        <v>485878.56</v>
      </c>
    </row>
    <row r="623" spans="2:16" x14ac:dyDescent="0.25">
      <c r="D623" s="3" t="s">
        <v>8</v>
      </c>
      <c r="F623" s="7">
        <v>50101010</v>
      </c>
      <c r="H623" s="8">
        <v>7539644</v>
      </c>
      <c r="J623" s="8">
        <v>7539644</v>
      </c>
      <c r="L623" s="8">
        <v>7436493.0800000001</v>
      </c>
      <c r="N623" s="8">
        <v>0</v>
      </c>
      <c r="P623" s="8">
        <v>103150.92</v>
      </c>
    </row>
    <row r="624" spans="2:16" x14ac:dyDescent="0.25">
      <c r="D624" s="3" t="s">
        <v>162</v>
      </c>
      <c r="F624" s="7">
        <v>50102010</v>
      </c>
      <c r="H624" s="8">
        <v>488000</v>
      </c>
      <c r="J624" s="8">
        <v>488000</v>
      </c>
      <c r="L624" s="8">
        <v>438838.71</v>
      </c>
      <c r="N624" s="8">
        <v>0</v>
      </c>
      <c r="P624" s="8">
        <v>49161.29</v>
      </c>
    </row>
    <row r="625" spans="2:16" x14ac:dyDescent="0.25">
      <c r="D625" s="3" t="s">
        <v>776</v>
      </c>
      <c r="F625" s="7">
        <v>50102020</v>
      </c>
      <c r="H625" s="8">
        <v>72000</v>
      </c>
      <c r="J625" s="8">
        <v>72000</v>
      </c>
      <c r="L625" s="8">
        <v>72000</v>
      </c>
      <c r="N625" s="8">
        <v>0</v>
      </c>
      <c r="P625" s="8">
        <v>0</v>
      </c>
    </row>
    <row r="626" spans="2:16" x14ac:dyDescent="0.25">
      <c r="D626" s="3" t="s">
        <v>60</v>
      </c>
      <c r="F626" s="7">
        <v>50102030</v>
      </c>
      <c r="H626" s="8">
        <v>90000</v>
      </c>
      <c r="J626" s="8">
        <v>90000</v>
      </c>
      <c r="L626" s="8">
        <v>18750</v>
      </c>
      <c r="N626" s="8">
        <v>0</v>
      </c>
      <c r="P626" s="8">
        <v>71250</v>
      </c>
    </row>
    <row r="627" spans="2:16" x14ac:dyDescent="0.25">
      <c r="D627" s="3" t="s">
        <v>11</v>
      </c>
      <c r="F627" s="7">
        <v>50102040</v>
      </c>
      <c r="H627" s="8">
        <v>115000</v>
      </c>
      <c r="J627" s="8">
        <v>115000</v>
      </c>
      <c r="L627" s="8">
        <v>95000</v>
      </c>
      <c r="N627" s="8">
        <v>0</v>
      </c>
      <c r="P627" s="8">
        <v>20000</v>
      </c>
    </row>
    <row r="628" spans="2:16" x14ac:dyDescent="0.25">
      <c r="D628" s="3" t="s">
        <v>61</v>
      </c>
      <c r="F628" s="7">
        <v>50102120</v>
      </c>
      <c r="H628" s="8">
        <v>40000</v>
      </c>
      <c r="J628" s="8">
        <v>40000</v>
      </c>
      <c r="L628" s="8">
        <v>40000</v>
      </c>
      <c r="N628" s="8">
        <v>0</v>
      </c>
      <c r="P628" s="8">
        <v>0</v>
      </c>
    </row>
    <row r="629" spans="2:16" x14ac:dyDescent="0.25">
      <c r="D629" s="3" t="s">
        <v>77</v>
      </c>
      <c r="F629" s="7">
        <v>50102130</v>
      </c>
      <c r="H629" s="8">
        <v>150000</v>
      </c>
      <c r="J629" s="8">
        <v>150000</v>
      </c>
      <c r="L629" s="8">
        <v>139542.57999999999</v>
      </c>
      <c r="N629" s="8">
        <v>0</v>
      </c>
      <c r="P629" s="8">
        <v>10457.42</v>
      </c>
    </row>
    <row r="630" spans="2:16" x14ac:dyDescent="0.25">
      <c r="D630" s="3" t="s">
        <v>12</v>
      </c>
      <c r="F630" s="7">
        <v>50102140</v>
      </c>
      <c r="H630" s="8">
        <v>1418016</v>
      </c>
      <c r="J630" s="8">
        <v>1418016</v>
      </c>
      <c r="L630" s="8">
        <v>1257825</v>
      </c>
      <c r="N630" s="8">
        <v>0</v>
      </c>
      <c r="P630" s="8">
        <v>160191</v>
      </c>
    </row>
    <row r="631" spans="2:16" x14ac:dyDescent="0.25">
      <c r="D631" s="3" t="s">
        <v>13</v>
      </c>
      <c r="F631" s="7">
        <v>50102150</v>
      </c>
      <c r="H631" s="8">
        <v>115000</v>
      </c>
      <c r="J631" s="8">
        <v>115000</v>
      </c>
      <c r="L631" s="8">
        <v>90000</v>
      </c>
      <c r="N631" s="8">
        <v>0</v>
      </c>
      <c r="P631" s="8">
        <v>25000</v>
      </c>
    </row>
    <row r="632" spans="2:16" x14ac:dyDescent="0.25">
      <c r="D632" s="3" t="s">
        <v>164</v>
      </c>
      <c r="F632" s="7">
        <v>50103010</v>
      </c>
      <c r="H632" s="8">
        <v>916757.84</v>
      </c>
      <c r="J632" s="8">
        <v>916757.84</v>
      </c>
      <c r="L632" s="8">
        <v>899689.91</v>
      </c>
      <c r="N632" s="8">
        <v>0</v>
      </c>
      <c r="P632" s="8">
        <v>17067.93</v>
      </c>
    </row>
    <row r="633" spans="2:16" x14ac:dyDescent="0.25">
      <c r="D633" s="3" t="s">
        <v>14</v>
      </c>
      <c r="F633" s="7">
        <v>50103020</v>
      </c>
      <c r="H633" s="8">
        <v>24400</v>
      </c>
      <c r="J633" s="8">
        <v>24400</v>
      </c>
      <c r="L633" s="8">
        <v>22100</v>
      </c>
      <c r="N633" s="8">
        <v>0</v>
      </c>
      <c r="P633" s="8">
        <v>2300</v>
      </c>
    </row>
    <row r="634" spans="2:16" x14ac:dyDescent="0.25">
      <c r="D634" s="3" t="s">
        <v>15</v>
      </c>
      <c r="F634" s="7">
        <v>50103030</v>
      </c>
      <c r="H634" s="8">
        <v>76200</v>
      </c>
      <c r="J634" s="8">
        <v>76200</v>
      </c>
      <c r="L634" s="8">
        <v>76200</v>
      </c>
      <c r="N634" s="8">
        <v>0</v>
      </c>
      <c r="P634" s="8">
        <v>0</v>
      </c>
    </row>
    <row r="635" spans="2:16" x14ac:dyDescent="0.25">
      <c r="D635" s="3" t="s">
        <v>165</v>
      </c>
      <c r="F635" s="7">
        <v>50103040</v>
      </c>
      <c r="H635" s="8">
        <v>24400</v>
      </c>
      <c r="J635" s="8">
        <v>24400</v>
      </c>
      <c r="L635" s="8">
        <v>22100</v>
      </c>
      <c r="N635" s="8">
        <v>0</v>
      </c>
      <c r="P635" s="8">
        <v>2300</v>
      </c>
    </row>
    <row r="636" spans="2:16" x14ac:dyDescent="0.25">
      <c r="D636" s="3" t="s">
        <v>16</v>
      </c>
      <c r="F636" s="7">
        <v>50104990</v>
      </c>
      <c r="H636" s="8">
        <v>115000</v>
      </c>
      <c r="J636" s="8">
        <v>115000</v>
      </c>
      <c r="L636" s="8">
        <v>90000</v>
      </c>
      <c r="N636" s="8">
        <v>0</v>
      </c>
      <c r="P636" s="8">
        <v>25000</v>
      </c>
    </row>
    <row r="637" spans="2:16" x14ac:dyDescent="0.25">
      <c r="B637" s="11" t="s">
        <v>166</v>
      </c>
      <c r="F637" s="7">
        <v>200</v>
      </c>
      <c r="H637" s="17">
        <f>SUM(H638:H644,H646)</f>
        <v>2010327.72</v>
      </c>
      <c r="J637" s="17">
        <f>SUM(J638:J644,J646)</f>
        <v>2010327.72</v>
      </c>
      <c r="L637" s="17">
        <f>SUM(L638:L644,L646)</f>
        <v>2008501.72</v>
      </c>
      <c r="N637" s="17">
        <f>SUM(N638:N644,N646)</f>
        <v>0</v>
      </c>
      <c r="P637" s="17">
        <f>SUM(P638:P644,P646)</f>
        <v>1826</v>
      </c>
    </row>
    <row r="638" spans="2:16" x14ac:dyDescent="0.25">
      <c r="D638" s="3" t="s">
        <v>759</v>
      </c>
      <c r="F638" s="7">
        <v>50203020</v>
      </c>
      <c r="H638" s="8">
        <v>45000</v>
      </c>
      <c r="J638" s="8">
        <v>45000</v>
      </c>
      <c r="L638" s="8">
        <v>44030</v>
      </c>
      <c r="N638" s="8">
        <v>0</v>
      </c>
      <c r="P638" s="8">
        <v>970</v>
      </c>
    </row>
    <row r="639" spans="2:16" x14ac:dyDescent="0.25">
      <c r="D639" s="3" t="s">
        <v>21</v>
      </c>
      <c r="F639" s="7">
        <v>50204010</v>
      </c>
      <c r="H639" s="8">
        <v>13000</v>
      </c>
      <c r="J639" s="8">
        <v>13000</v>
      </c>
      <c r="L639" s="8">
        <v>12144</v>
      </c>
      <c r="N639" s="8">
        <v>0</v>
      </c>
      <c r="P639" s="8">
        <v>856</v>
      </c>
    </row>
    <row r="640" spans="2:16" x14ac:dyDescent="0.25">
      <c r="D640" s="3" t="s">
        <v>79</v>
      </c>
      <c r="F640" s="7">
        <v>50205010</v>
      </c>
      <c r="H640" s="8">
        <v>945</v>
      </c>
      <c r="J640" s="8">
        <v>945</v>
      </c>
      <c r="L640" s="8">
        <v>945</v>
      </c>
      <c r="N640" s="8">
        <v>0</v>
      </c>
      <c r="P640" s="8">
        <v>0</v>
      </c>
    </row>
    <row r="641" spans="3:16" x14ac:dyDescent="0.25">
      <c r="D641" s="3" t="s">
        <v>22</v>
      </c>
      <c r="F641" s="7">
        <v>50205020</v>
      </c>
      <c r="H641" s="8">
        <v>52000</v>
      </c>
      <c r="J641" s="8">
        <v>52000</v>
      </c>
      <c r="L641" s="8">
        <v>52000</v>
      </c>
      <c r="N641" s="8">
        <v>0</v>
      </c>
      <c r="P641" s="8">
        <v>0</v>
      </c>
    </row>
    <row r="642" spans="3:16" x14ac:dyDescent="0.25">
      <c r="D642" s="3" t="s">
        <v>251</v>
      </c>
      <c r="F642" s="7">
        <v>50213050</v>
      </c>
      <c r="H642" s="8">
        <v>7500</v>
      </c>
      <c r="J642" s="8">
        <v>7500</v>
      </c>
      <c r="L642" s="8">
        <v>7500</v>
      </c>
      <c r="N642" s="8">
        <v>0</v>
      </c>
      <c r="P642" s="8">
        <v>0</v>
      </c>
    </row>
    <row r="643" spans="3:16" x14ac:dyDescent="0.25">
      <c r="D643" s="3" t="s">
        <v>761</v>
      </c>
      <c r="F643" s="7">
        <v>50216020</v>
      </c>
      <c r="H643" s="8">
        <v>134532.75</v>
      </c>
      <c r="J643" s="8">
        <v>134532.75</v>
      </c>
      <c r="L643" s="8">
        <v>134532.75</v>
      </c>
      <c r="N643" s="8">
        <v>0</v>
      </c>
      <c r="P643" s="8">
        <v>0</v>
      </c>
    </row>
    <row r="644" spans="3:16" x14ac:dyDescent="0.25">
      <c r="D644" s="3" t="s">
        <v>55</v>
      </c>
      <c r="F644" s="7">
        <v>50299070</v>
      </c>
      <c r="H644" s="8">
        <v>5236</v>
      </c>
      <c r="J644" s="8">
        <v>5236</v>
      </c>
      <c r="L644" s="8">
        <v>5236</v>
      </c>
      <c r="N644" s="8">
        <v>0</v>
      </c>
      <c r="P644" s="8">
        <v>0</v>
      </c>
    </row>
    <row r="645" spans="3:16" x14ac:dyDescent="0.25">
      <c r="C645" s="11" t="s">
        <v>177</v>
      </c>
    </row>
    <row r="646" spans="3:16" x14ac:dyDescent="0.25">
      <c r="C646" s="11" t="s">
        <v>80</v>
      </c>
      <c r="H646" s="17">
        <f>SUM(H647:H657)</f>
        <v>1752113.97</v>
      </c>
      <c r="J646" s="17">
        <f>SUM(J647:J657)</f>
        <v>1752113.97</v>
      </c>
      <c r="L646" s="17">
        <f>SUM(L647:L657)</f>
        <v>1752113.97</v>
      </c>
      <c r="N646" s="17">
        <f>SUM(N647:N657)</f>
        <v>0</v>
      </c>
      <c r="P646" s="17">
        <f>SUM(P647:P657)</f>
        <v>0</v>
      </c>
    </row>
    <row r="647" spans="3:16" x14ac:dyDescent="0.25">
      <c r="D647" s="3" t="s">
        <v>760</v>
      </c>
      <c r="F647" s="7">
        <v>50201010</v>
      </c>
      <c r="H647" s="8">
        <v>180630</v>
      </c>
      <c r="J647" s="8">
        <v>180630</v>
      </c>
      <c r="L647" s="8">
        <v>180630</v>
      </c>
      <c r="N647" s="8">
        <v>0</v>
      </c>
      <c r="P647" s="8">
        <v>0</v>
      </c>
    </row>
    <row r="648" spans="3:16" x14ac:dyDescent="0.25">
      <c r="D648" s="3" t="s">
        <v>19</v>
      </c>
      <c r="F648" s="7">
        <v>50202010</v>
      </c>
      <c r="H648" s="8">
        <v>185000</v>
      </c>
      <c r="J648" s="8">
        <v>185000</v>
      </c>
      <c r="L648" s="8">
        <v>185000</v>
      </c>
      <c r="N648" s="8">
        <v>0</v>
      </c>
      <c r="P648" s="8">
        <v>0</v>
      </c>
    </row>
    <row r="649" spans="3:16" x14ac:dyDescent="0.25">
      <c r="D649" s="3" t="s">
        <v>36</v>
      </c>
      <c r="F649" s="7">
        <v>50203010</v>
      </c>
      <c r="H649" s="8">
        <v>124940</v>
      </c>
      <c r="J649" s="8">
        <v>124940</v>
      </c>
      <c r="L649" s="8">
        <v>124940</v>
      </c>
      <c r="N649" s="8">
        <v>0</v>
      </c>
      <c r="P649" s="8">
        <v>0</v>
      </c>
    </row>
    <row r="650" spans="3:16" x14ac:dyDescent="0.25">
      <c r="D650" s="3" t="s">
        <v>20</v>
      </c>
      <c r="F650" s="7">
        <v>50203090</v>
      </c>
      <c r="H650" s="8">
        <v>60988.97</v>
      </c>
      <c r="J650" s="8">
        <v>60988.97</v>
      </c>
      <c r="L650" s="8">
        <v>60988.97</v>
      </c>
      <c r="N650" s="8">
        <v>0</v>
      </c>
      <c r="P650" s="8">
        <v>0</v>
      </c>
    </row>
    <row r="651" spans="3:16" x14ac:dyDescent="0.25">
      <c r="D651" s="3" t="s">
        <v>37</v>
      </c>
      <c r="F651" s="7">
        <v>50203990</v>
      </c>
      <c r="H651" s="8">
        <v>249955</v>
      </c>
      <c r="J651" s="8">
        <v>249955</v>
      </c>
      <c r="L651" s="8">
        <v>249955</v>
      </c>
      <c r="N651" s="8">
        <v>0</v>
      </c>
      <c r="P651" s="8">
        <v>0</v>
      </c>
    </row>
    <row r="652" spans="3:16" x14ac:dyDescent="0.25">
      <c r="D652" s="3" t="s">
        <v>22</v>
      </c>
      <c r="F652" s="7">
        <v>50205020</v>
      </c>
      <c r="H652" s="8">
        <v>3000</v>
      </c>
      <c r="J652" s="8">
        <v>3000</v>
      </c>
      <c r="L652" s="8">
        <v>3000</v>
      </c>
      <c r="N652" s="8">
        <v>0</v>
      </c>
      <c r="P652" s="8">
        <v>0</v>
      </c>
    </row>
    <row r="653" spans="3:16" x14ac:dyDescent="0.25">
      <c r="D653" s="3" t="s">
        <v>26</v>
      </c>
      <c r="F653" s="7">
        <v>50212990</v>
      </c>
      <c r="H653" s="8">
        <v>25000</v>
      </c>
      <c r="J653" s="8">
        <v>25000</v>
      </c>
      <c r="L653" s="8">
        <v>25000</v>
      </c>
      <c r="N653" s="8">
        <v>0</v>
      </c>
      <c r="P653" s="8">
        <v>0</v>
      </c>
    </row>
    <row r="654" spans="3:16" x14ac:dyDescent="0.25">
      <c r="D654" s="3" t="s">
        <v>286</v>
      </c>
      <c r="F654" s="7">
        <v>50214030</v>
      </c>
      <c r="H654" s="8">
        <v>550000</v>
      </c>
      <c r="J654" s="8">
        <v>550000</v>
      </c>
      <c r="L654" s="8">
        <v>550000</v>
      </c>
      <c r="N654" s="8">
        <v>0</v>
      </c>
      <c r="P654" s="8">
        <v>0</v>
      </c>
    </row>
    <row r="655" spans="3:16" x14ac:dyDescent="0.25">
      <c r="D655" s="3" t="s">
        <v>41</v>
      </c>
      <c r="F655" s="7">
        <v>50299010</v>
      </c>
      <c r="H655" s="8">
        <v>68000</v>
      </c>
      <c r="J655" s="8">
        <v>68000</v>
      </c>
      <c r="L655" s="8">
        <v>68000</v>
      </c>
      <c r="N655" s="8">
        <v>0</v>
      </c>
      <c r="P655" s="8">
        <v>0</v>
      </c>
    </row>
    <row r="656" spans="3:16" x14ac:dyDescent="0.25">
      <c r="D656" s="3" t="s">
        <v>38</v>
      </c>
      <c r="F656" s="7">
        <v>50299030</v>
      </c>
      <c r="H656" s="8">
        <v>229600</v>
      </c>
      <c r="J656" s="8">
        <v>229600</v>
      </c>
      <c r="L656" s="8">
        <v>229600</v>
      </c>
      <c r="N656" s="8">
        <v>0</v>
      </c>
      <c r="P656" s="8">
        <v>0</v>
      </c>
    </row>
    <row r="657" spans="2:16" x14ac:dyDescent="0.25">
      <c r="D657" s="3" t="s">
        <v>825</v>
      </c>
      <c r="F657" s="7">
        <v>50299070</v>
      </c>
      <c r="H657" s="8">
        <v>75000</v>
      </c>
      <c r="J657" s="8">
        <v>75000</v>
      </c>
      <c r="L657" s="8">
        <v>75000</v>
      </c>
      <c r="N657" s="8">
        <v>0</v>
      </c>
      <c r="P657" s="8">
        <v>0</v>
      </c>
    </row>
    <row r="659" spans="2:16" x14ac:dyDescent="0.25">
      <c r="C659" s="11" t="s">
        <v>263</v>
      </c>
      <c r="H659" s="17">
        <f>+H637+H622</f>
        <v>13194745.560000001</v>
      </c>
      <c r="I659" s="8" t="s">
        <v>0</v>
      </c>
      <c r="J659" s="17">
        <f>+J637+J622</f>
        <v>13194745.560000001</v>
      </c>
      <c r="K659" s="8" t="s">
        <v>0</v>
      </c>
      <c r="L659" s="17">
        <f>+L637+L622</f>
        <v>12707041.000000002</v>
      </c>
      <c r="M659" s="8" t="s">
        <v>0</v>
      </c>
      <c r="N659" s="17">
        <f>+N637+N622</f>
        <v>0</v>
      </c>
      <c r="O659" s="8" t="s">
        <v>0</v>
      </c>
      <c r="P659" s="17">
        <f>+P637+P622</f>
        <v>487704.56</v>
      </c>
    </row>
    <row r="661" spans="2:16" x14ac:dyDescent="0.25">
      <c r="B661" s="11" t="s">
        <v>264</v>
      </c>
      <c r="F661" s="7" t="s">
        <v>265</v>
      </c>
    </row>
    <row r="662" spans="2:16" x14ac:dyDescent="0.25">
      <c r="B662" s="11" t="s">
        <v>160</v>
      </c>
      <c r="F662" s="7">
        <v>100</v>
      </c>
      <c r="H662" s="17">
        <f>SUM(H663:H675)</f>
        <v>10560013.68</v>
      </c>
      <c r="J662" s="17">
        <f>SUM(J663:J675)</f>
        <v>10560013.68</v>
      </c>
      <c r="L662" s="17">
        <f>SUM(L663:L675)</f>
        <v>10159632.43</v>
      </c>
      <c r="N662" s="17">
        <f>SUM(N663:N675)</f>
        <v>0</v>
      </c>
      <c r="P662" s="17">
        <f>SUM(P663:P675)</f>
        <v>400381.25</v>
      </c>
    </row>
    <row r="663" spans="2:16" x14ac:dyDescent="0.25">
      <c r="D663" s="3" t="s">
        <v>8</v>
      </c>
      <c r="F663" s="7">
        <v>50101010</v>
      </c>
      <c r="H663" s="8">
        <v>7135768</v>
      </c>
      <c r="J663" s="8">
        <v>7135768</v>
      </c>
      <c r="L663" s="8">
        <v>7135768</v>
      </c>
      <c r="N663" s="8">
        <v>0</v>
      </c>
      <c r="P663" s="8">
        <v>0</v>
      </c>
    </row>
    <row r="664" spans="2:16" ht="11.25" customHeight="1" x14ac:dyDescent="0.25">
      <c r="D664" s="3" t="s">
        <v>162</v>
      </c>
      <c r="F664" s="7">
        <v>50102010</v>
      </c>
      <c r="H664" s="8">
        <v>432000</v>
      </c>
      <c r="J664" s="8">
        <v>432000</v>
      </c>
      <c r="L664" s="8">
        <v>383662.75</v>
      </c>
      <c r="N664" s="8">
        <v>0</v>
      </c>
      <c r="P664" s="8">
        <v>48337.25</v>
      </c>
    </row>
    <row r="665" spans="2:16" x14ac:dyDescent="0.25">
      <c r="D665" s="3" t="s">
        <v>776</v>
      </c>
      <c r="F665" s="7">
        <v>50102020</v>
      </c>
      <c r="H665" s="8">
        <v>102000</v>
      </c>
      <c r="J665" s="8">
        <v>102000</v>
      </c>
      <c r="L665" s="8">
        <v>102000</v>
      </c>
      <c r="N665" s="8">
        <v>0</v>
      </c>
      <c r="P665" s="8">
        <v>0</v>
      </c>
    </row>
    <row r="666" spans="2:16" x14ac:dyDescent="0.25">
      <c r="D666" s="3" t="s">
        <v>60</v>
      </c>
      <c r="F666" s="7">
        <v>50102030</v>
      </c>
      <c r="H666" s="8">
        <v>180000</v>
      </c>
      <c r="J666" s="8">
        <v>180000</v>
      </c>
      <c r="L666" s="8">
        <v>90000</v>
      </c>
      <c r="N666" s="8">
        <v>0</v>
      </c>
      <c r="P666" s="8">
        <v>90000</v>
      </c>
    </row>
    <row r="667" spans="2:16" x14ac:dyDescent="0.25">
      <c r="D667" s="3" t="s">
        <v>11</v>
      </c>
      <c r="F667" s="7">
        <v>50102040</v>
      </c>
      <c r="H667" s="8">
        <v>110000</v>
      </c>
      <c r="J667" s="8">
        <v>110000</v>
      </c>
      <c r="L667" s="8">
        <v>80000</v>
      </c>
      <c r="N667" s="8">
        <v>0</v>
      </c>
      <c r="P667" s="8">
        <v>30000</v>
      </c>
    </row>
    <row r="668" spans="2:16" x14ac:dyDescent="0.25">
      <c r="D668" s="3" t="s">
        <v>61</v>
      </c>
      <c r="F668" s="7">
        <v>50102120</v>
      </c>
      <c r="H668" s="8">
        <v>40000</v>
      </c>
      <c r="J668" s="8">
        <v>40000</v>
      </c>
      <c r="L668" s="8">
        <v>40000</v>
      </c>
      <c r="N668" s="8">
        <v>0</v>
      </c>
      <c r="P668" s="8">
        <v>0</v>
      </c>
    </row>
    <row r="669" spans="2:16" x14ac:dyDescent="0.25">
      <c r="D669" s="3" t="s">
        <v>12</v>
      </c>
      <c r="F669" s="7">
        <v>50102140</v>
      </c>
      <c r="H669" s="8">
        <v>1375678</v>
      </c>
      <c r="J669" s="8">
        <v>1375678</v>
      </c>
      <c r="L669" s="8">
        <v>1208434</v>
      </c>
      <c r="N669" s="8">
        <v>0</v>
      </c>
      <c r="P669" s="8">
        <v>167244</v>
      </c>
    </row>
    <row r="670" spans="2:16" x14ac:dyDescent="0.25">
      <c r="D670" s="3" t="s">
        <v>13</v>
      </c>
      <c r="F670" s="7">
        <v>50102150</v>
      </c>
      <c r="H670" s="8">
        <v>110000</v>
      </c>
      <c r="J670" s="8">
        <v>110000</v>
      </c>
      <c r="L670" s="8">
        <v>80000</v>
      </c>
      <c r="N670" s="8">
        <v>0</v>
      </c>
      <c r="P670" s="8">
        <v>30000</v>
      </c>
    </row>
    <row r="671" spans="2:16" x14ac:dyDescent="0.25">
      <c r="D671" s="3" t="s">
        <v>164</v>
      </c>
      <c r="F671" s="7">
        <v>50103010</v>
      </c>
      <c r="H671" s="8">
        <v>856292.68</v>
      </c>
      <c r="J671" s="8">
        <v>856292.68</v>
      </c>
      <c r="L671" s="8">
        <v>856292.68</v>
      </c>
      <c r="N671" s="8">
        <v>0</v>
      </c>
      <c r="P671" s="8">
        <v>0</v>
      </c>
    </row>
    <row r="672" spans="2:16" x14ac:dyDescent="0.25">
      <c r="D672" s="3" t="s">
        <v>14</v>
      </c>
      <c r="F672" s="7">
        <v>50103020</v>
      </c>
      <c r="H672" s="8">
        <v>21600</v>
      </c>
      <c r="J672" s="8">
        <v>21600</v>
      </c>
      <c r="L672" s="8">
        <v>19200</v>
      </c>
      <c r="N672" s="8">
        <v>0</v>
      </c>
      <c r="P672" s="8">
        <v>2400</v>
      </c>
    </row>
    <row r="673" spans="2:16" x14ac:dyDescent="0.25">
      <c r="D673" s="3" t="s">
        <v>15</v>
      </c>
      <c r="F673" s="7">
        <v>50103030</v>
      </c>
      <c r="H673" s="8">
        <v>65075</v>
      </c>
      <c r="J673" s="8">
        <v>65075</v>
      </c>
      <c r="L673" s="8">
        <v>65075</v>
      </c>
      <c r="N673" s="8">
        <v>0</v>
      </c>
      <c r="P673" s="8">
        <v>0</v>
      </c>
    </row>
    <row r="674" spans="2:16" x14ac:dyDescent="0.25">
      <c r="D674" s="3" t="s">
        <v>165</v>
      </c>
      <c r="F674" s="7">
        <v>50103040</v>
      </c>
      <c r="H674" s="8">
        <v>21600</v>
      </c>
      <c r="J674" s="8">
        <v>21600</v>
      </c>
      <c r="L674" s="8">
        <v>19200</v>
      </c>
      <c r="N674" s="8">
        <v>0</v>
      </c>
      <c r="P674" s="8">
        <v>2400</v>
      </c>
    </row>
    <row r="675" spans="2:16" x14ac:dyDescent="0.25">
      <c r="D675" s="3" t="s">
        <v>16</v>
      </c>
      <c r="F675" s="7">
        <v>50104990</v>
      </c>
      <c r="H675" s="8">
        <v>110000</v>
      </c>
      <c r="J675" s="8">
        <v>110000</v>
      </c>
      <c r="L675" s="8">
        <v>80000</v>
      </c>
      <c r="N675" s="8">
        <v>0</v>
      </c>
      <c r="P675" s="8">
        <v>30000</v>
      </c>
    </row>
    <row r="676" spans="2:16" x14ac:dyDescent="0.25">
      <c r="B676" s="11" t="s">
        <v>166</v>
      </c>
      <c r="F676" s="7">
        <v>200</v>
      </c>
      <c r="H676" s="17">
        <f>SUM(H677:H684,H686,H693,H699)</f>
        <v>1251602.27</v>
      </c>
      <c r="J676" s="17">
        <f>SUM(J677:J684,J686,J693,J699)</f>
        <v>1251602.27</v>
      </c>
      <c r="L676" s="17">
        <f>SUM(L677:L684,L686,L693,L699)</f>
        <v>1246690.27</v>
      </c>
      <c r="N676" s="17">
        <f>SUM(N677:N684,N686,N693,N699)</f>
        <v>0</v>
      </c>
      <c r="P676" s="17">
        <f>SUM(P677:P684,P686,P693,P699)</f>
        <v>4912</v>
      </c>
    </row>
    <row r="677" spans="2:16" x14ac:dyDescent="0.25">
      <c r="D677" s="3" t="s">
        <v>21</v>
      </c>
      <c r="F677" s="7">
        <v>50204010</v>
      </c>
      <c r="H677" s="8">
        <v>16000</v>
      </c>
      <c r="J677" s="8">
        <v>16000</v>
      </c>
      <c r="L677" s="8">
        <v>11088</v>
      </c>
      <c r="N677" s="8">
        <v>0</v>
      </c>
      <c r="P677" s="8">
        <v>4912</v>
      </c>
    </row>
    <row r="678" spans="2:16" x14ac:dyDescent="0.25">
      <c r="D678" s="3" t="s">
        <v>22</v>
      </c>
      <c r="F678" s="7">
        <v>50205020</v>
      </c>
      <c r="H678" s="8">
        <v>73500</v>
      </c>
      <c r="J678" s="8">
        <v>73500</v>
      </c>
      <c r="L678" s="8">
        <v>73500</v>
      </c>
      <c r="N678" s="8">
        <v>0</v>
      </c>
      <c r="P678" s="8">
        <v>0</v>
      </c>
    </row>
    <row r="679" spans="2:16" x14ac:dyDescent="0.25">
      <c r="D679" s="3" t="s">
        <v>27</v>
      </c>
      <c r="F679" s="7">
        <v>50213050</v>
      </c>
      <c r="H679" s="8">
        <v>10000</v>
      </c>
      <c r="J679" s="8">
        <v>10000</v>
      </c>
      <c r="L679" s="8">
        <v>10000</v>
      </c>
      <c r="N679" s="8">
        <v>0</v>
      </c>
      <c r="P679" s="8">
        <v>0</v>
      </c>
    </row>
    <row r="680" spans="2:16" x14ac:dyDescent="0.25">
      <c r="D680" s="3" t="s">
        <v>762</v>
      </c>
      <c r="F680" s="7">
        <v>50213070</v>
      </c>
      <c r="H680" s="8">
        <v>9699</v>
      </c>
      <c r="J680" s="8">
        <v>9699</v>
      </c>
      <c r="L680" s="8">
        <v>9699</v>
      </c>
      <c r="N680" s="8">
        <v>0</v>
      </c>
      <c r="P680" s="8">
        <v>0</v>
      </c>
    </row>
    <row r="681" spans="2:16" x14ac:dyDescent="0.25">
      <c r="D681" s="3" t="s">
        <v>761</v>
      </c>
      <c r="F681" s="7">
        <v>50216020</v>
      </c>
      <c r="H681" s="8">
        <v>1500</v>
      </c>
      <c r="J681" s="8">
        <v>1500</v>
      </c>
      <c r="L681" s="8">
        <v>1500</v>
      </c>
      <c r="N681" s="8">
        <v>0</v>
      </c>
      <c r="P681" s="8">
        <v>0</v>
      </c>
    </row>
    <row r="682" spans="2:16" x14ac:dyDescent="0.25">
      <c r="D682" s="3" t="s">
        <v>83</v>
      </c>
      <c r="F682" s="7">
        <v>50299020</v>
      </c>
      <c r="H682" s="8">
        <v>19363.5</v>
      </c>
      <c r="J682" s="8">
        <v>19363.5</v>
      </c>
      <c r="L682" s="8">
        <v>19363.5</v>
      </c>
      <c r="N682" s="8">
        <v>0</v>
      </c>
      <c r="P682" s="8">
        <v>0</v>
      </c>
    </row>
    <row r="683" spans="2:16" x14ac:dyDescent="0.25">
      <c r="D683" s="3" t="s">
        <v>38</v>
      </c>
      <c r="F683" s="7">
        <v>50299030</v>
      </c>
      <c r="H683" s="8">
        <v>9375</v>
      </c>
      <c r="J683" s="8">
        <v>9375</v>
      </c>
      <c r="L683" s="8">
        <v>9375</v>
      </c>
      <c r="N683" s="8">
        <v>0</v>
      </c>
      <c r="P683" s="8">
        <v>0</v>
      </c>
    </row>
    <row r="684" spans="2:16" x14ac:dyDescent="0.25">
      <c r="D684" s="3" t="s">
        <v>55</v>
      </c>
      <c r="F684" s="7">
        <v>50299070</v>
      </c>
      <c r="H684" s="8">
        <v>4686</v>
      </c>
      <c r="J684" s="8">
        <v>4686</v>
      </c>
      <c r="L684" s="8">
        <v>4686</v>
      </c>
      <c r="N684" s="8">
        <v>0</v>
      </c>
      <c r="P684" s="8">
        <v>0</v>
      </c>
    </row>
    <row r="685" spans="2:16" x14ac:dyDescent="0.25">
      <c r="C685" s="11" t="s">
        <v>177</v>
      </c>
    </row>
    <row r="686" spans="2:16" x14ac:dyDescent="0.25">
      <c r="C686" s="11" t="s">
        <v>82</v>
      </c>
      <c r="H686" s="17">
        <f>SUM(H687:H692)</f>
        <v>138061</v>
      </c>
      <c r="J686" s="17">
        <f>SUM(J687:J692)</f>
        <v>138061</v>
      </c>
      <c r="L686" s="17">
        <f>SUM(L687:L692)</f>
        <v>138061</v>
      </c>
      <c r="N686" s="17">
        <f>SUM(N687:N692)</f>
        <v>0</v>
      </c>
      <c r="P686" s="17">
        <f>SUM(P687:P692)</f>
        <v>0</v>
      </c>
    </row>
    <row r="687" spans="2:16" x14ac:dyDescent="0.25">
      <c r="D687" s="3" t="s">
        <v>760</v>
      </c>
      <c r="F687" s="7">
        <v>50201010</v>
      </c>
      <c r="H687" s="8">
        <v>14084</v>
      </c>
      <c r="J687" s="8">
        <v>14084</v>
      </c>
      <c r="L687" s="8">
        <v>14084</v>
      </c>
      <c r="N687" s="8">
        <v>0</v>
      </c>
      <c r="P687" s="8">
        <v>0</v>
      </c>
    </row>
    <row r="688" spans="2:16" x14ac:dyDescent="0.25">
      <c r="D688" s="3" t="s">
        <v>19</v>
      </c>
      <c r="F688" s="7">
        <v>50202010</v>
      </c>
      <c r="H688" s="8">
        <v>12000</v>
      </c>
      <c r="J688" s="8">
        <v>12000</v>
      </c>
      <c r="L688" s="8">
        <v>12000</v>
      </c>
      <c r="N688" s="8">
        <v>0</v>
      </c>
      <c r="P688" s="8">
        <v>0</v>
      </c>
    </row>
    <row r="689" spans="3:16" x14ac:dyDescent="0.25">
      <c r="D689" s="3" t="s">
        <v>36</v>
      </c>
      <c r="F689" s="7">
        <v>50203010</v>
      </c>
      <c r="H689" s="8">
        <v>14852</v>
      </c>
      <c r="J689" s="8">
        <v>14852</v>
      </c>
      <c r="L689" s="8">
        <v>14852</v>
      </c>
      <c r="N689" s="8">
        <v>0</v>
      </c>
      <c r="P689" s="8">
        <v>0</v>
      </c>
    </row>
    <row r="690" spans="3:16" x14ac:dyDescent="0.25">
      <c r="D690" s="3" t="s">
        <v>22</v>
      </c>
      <c r="F690" s="7">
        <v>50205020</v>
      </c>
      <c r="H690" s="8">
        <v>10500</v>
      </c>
      <c r="J690" s="8">
        <v>10500</v>
      </c>
      <c r="L690" s="8">
        <v>10500</v>
      </c>
      <c r="N690" s="8">
        <v>0</v>
      </c>
      <c r="P690" s="8">
        <v>0</v>
      </c>
    </row>
    <row r="691" spans="3:16" x14ac:dyDescent="0.25">
      <c r="D691" s="3" t="s">
        <v>83</v>
      </c>
      <c r="F691" s="7">
        <v>50299020</v>
      </c>
      <c r="H691" s="8">
        <v>12000</v>
      </c>
      <c r="J691" s="8">
        <v>12000</v>
      </c>
      <c r="L691" s="8">
        <v>12000</v>
      </c>
      <c r="N691" s="8">
        <v>0</v>
      </c>
      <c r="P691" s="8">
        <v>0</v>
      </c>
    </row>
    <row r="692" spans="3:16" x14ac:dyDescent="0.25">
      <c r="D692" s="3" t="s">
        <v>38</v>
      </c>
      <c r="F692" s="7">
        <v>50299030</v>
      </c>
      <c r="H692" s="8">
        <v>74625</v>
      </c>
      <c r="J692" s="8">
        <v>74625</v>
      </c>
      <c r="L692" s="8">
        <v>74625</v>
      </c>
      <c r="N692" s="8">
        <v>0</v>
      </c>
      <c r="P692" s="8">
        <v>0</v>
      </c>
    </row>
    <row r="693" spans="3:16" x14ac:dyDescent="0.25">
      <c r="C693" s="11" t="s">
        <v>84</v>
      </c>
      <c r="H693" s="17">
        <f>SUM(H694:H698)</f>
        <v>772853</v>
      </c>
      <c r="J693" s="17">
        <f>SUM(J694:J698)</f>
        <v>772853</v>
      </c>
      <c r="L693" s="17">
        <f>SUM(L694:L698)</f>
        <v>772853</v>
      </c>
      <c r="N693" s="17">
        <f>SUM(N694:N698)</f>
        <v>0</v>
      </c>
      <c r="P693" s="17">
        <f>SUM(P694:P698)</f>
        <v>0</v>
      </c>
    </row>
    <row r="694" spans="3:16" x14ac:dyDescent="0.25">
      <c r="D694" s="3" t="s">
        <v>760</v>
      </c>
      <c r="F694" s="7">
        <v>50201010</v>
      </c>
      <c r="H694" s="8">
        <v>99280</v>
      </c>
      <c r="J694" s="8">
        <v>99280</v>
      </c>
      <c r="L694" s="8">
        <v>99280</v>
      </c>
      <c r="N694" s="8">
        <v>0</v>
      </c>
      <c r="P694" s="8">
        <v>0</v>
      </c>
    </row>
    <row r="695" spans="3:16" x14ac:dyDescent="0.25">
      <c r="D695" s="3" t="s">
        <v>19</v>
      </c>
      <c r="F695" s="7">
        <v>50202010</v>
      </c>
      <c r="H695" s="8">
        <v>61500</v>
      </c>
      <c r="J695" s="8">
        <v>61500</v>
      </c>
      <c r="L695" s="8">
        <v>61500</v>
      </c>
      <c r="N695" s="8">
        <v>0</v>
      </c>
      <c r="P695" s="8">
        <v>0</v>
      </c>
    </row>
    <row r="696" spans="3:16" x14ac:dyDescent="0.25">
      <c r="D696" s="3" t="s">
        <v>36</v>
      </c>
      <c r="F696" s="7">
        <v>50203010</v>
      </c>
      <c r="H696" s="8">
        <v>265263</v>
      </c>
      <c r="J696" s="8">
        <v>265263</v>
      </c>
      <c r="L696" s="8">
        <v>265263</v>
      </c>
      <c r="N696" s="8">
        <v>0</v>
      </c>
      <c r="P696" s="8">
        <v>0</v>
      </c>
    </row>
    <row r="697" spans="3:16" x14ac:dyDescent="0.25">
      <c r="D697" s="3" t="s">
        <v>37</v>
      </c>
      <c r="F697" s="7">
        <v>50203990</v>
      </c>
      <c r="H697" s="8">
        <v>14469</v>
      </c>
      <c r="J697" s="8">
        <v>14469</v>
      </c>
      <c r="L697" s="8">
        <v>14469</v>
      </c>
      <c r="N697" s="8">
        <v>0</v>
      </c>
      <c r="P697" s="8">
        <v>0</v>
      </c>
    </row>
    <row r="698" spans="3:16" x14ac:dyDescent="0.25">
      <c r="D698" s="3" t="s">
        <v>43</v>
      </c>
      <c r="F698" s="7">
        <v>50299080</v>
      </c>
      <c r="H698" s="8">
        <v>332341</v>
      </c>
      <c r="J698" s="8">
        <v>332341</v>
      </c>
      <c r="L698" s="8">
        <v>332341</v>
      </c>
      <c r="N698" s="8">
        <v>0</v>
      </c>
      <c r="P698" s="8">
        <v>0</v>
      </c>
    </row>
    <row r="699" spans="3:16" x14ac:dyDescent="0.25">
      <c r="C699" s="11" t="s">
        <v>85</v>
      </c>
      <c r="H699" s="17">
        <f>SUM(H700:H704)</f>
        <v>196564.77</v>
      </c>
      <c r="J699" s="17">
        <f>SUM(J700:J704)</f>
        <v>196564.77</v>
      </c>
      <c r="L699" s="17">
        <f>SUM(L700:L704)</f>
        <v>196564.77</v>
      </c>
      <c r="N699" s="17">
        <f>SUM(N700:N704)</f>
        <v>0</v>
      </c>
      <c r="P699" s="17">
        <f>SUM(P700:P704)</f>
        <v>0</v>
      </c>
    </row>
    <row r="700" spans="3:16" x14ac:dyDescent="0.25">
      <c r="D700" s="3" t="s">
        <v>760</v>
      </c>
      <c r="F700" s="7">
        <v>50201010</v>
      </c>
      <c r="H700" s="8">
        <v>89447</v>
      </c>
      <c r="J700" s="8">
        <v>89447</v>
      </c>
      <c r="L700" s="8">
        <v>89447</v>
      </c>
      <c r="N700" s="8">
        <v>0</v>
      </c>
      <c r="P700" s="8">
        <v>0</v>
      </c>
    </row>
    <row r="701" spans="3:16" x14ac:dyDescent="0.25">
      <c r="D701" s="3" t="s">
        <v>19</v>
      </c>
      <c r="F701" s="7">
        <v>50202010</v>
      </c>
      <c r="H701" s="8">
        <v>63700</v>
      </c>
      <c r="J701" s="8">
        <v>63700</v>
      </c>
      <c r="L701" s="8">
        <v>63700</v>
      </c>
      <c r="N701" s="8">
        <v>0</v>
      </c>
      <c r="P701" s="8">
        <v>0</v>
      </c>
    </row>
    <row r="702" spans="3:16" x14ac:dyDescent="0.25">
      <c r="D702" s="3" t="s">
        <v>36</v>
      </c>
      <c r="F702" s="7">
        <v>50203010</v>
      </c>
      <c r="H702" s="8">
        <v>20000</v>
      </c>
      <c r="J702" s="8">
        <v>20000</v>
      </c>
      <c r="L702" s="8">
        <v>20000</v>
      </c>
      <c r="N702" s="8">
        <v>0</v>
      </c>
      <c r="P702" s="8">
        <v>0</v>
      </c>
    </row>
    <row r="703" spans="3:16" x14ac:dyDescent="0.25">
      <c r="D703" s="3" t="s">
        <v>20</v>
      </c>
      <c r="F703" s="7">
        <v>50203090</v>
      </c>
      <c r="H703" s="8">
        <v>13582.27</v>
      </c>
      <c r="J703" s="8">
        <v>13582.27</v>
      </c>
      <c r="L703" s="8">
        <v>13582.27</v>
      </c>
      <c r="N703" s="8">
        <v>0</v>
      </c>
      <c r="P703" s="8">
        <v>0</v>
      </c>
    </row>
    <row r="704" spans="3:16" x14ac:dyDescent="0.25">
      <c r="D704" s="3" t="s">
        <v>91</v>
      </c>
      <c r="F704" s="7">
        <v>50299020</v>
      </c>
      <c r="H704" s="8">
        <v>9835.5</v>
      </c>
      <c r="J704" s="8">
        <v>9835.5</v>
      </c>
      <c r="L704" s="8">
        <v>9835.5</v>
      </c>
      <c r="N704" s="8">
        <v>0</v>
      </c>
      <c r="P704" s="8">
        <v>0</v>
      </c>
    </row>
    <row r="706" spans="2:16" x14ac:dyDescent="0.25">
      <c r="C706" s="11" t="s">
        <v>266</v>
      </c>
      <c r="H706" s="17">
        <f>+H676+H662</f>
        <v>11811615.949999999</v>
      </c>
      <c r="I706" s="8" t="s">
        <v>0</v>
      </c>
      <c r="J706" s="17">
        <f>+J676+J662</f>
        <v>11811615.949999999</v>
      </c>
      <c r="K706" s="8" t="s">
        <v>0</v>
      </c>
      <c r="L706" s="17">
        <f>+L676+L662</f>
        <v>11406322.699999999</v>
      </c>
      <c r="M706" s="8" t="s">
        <v>0</v>
      </c>
      <c r="N706" s="17">
        <f>+N676+N662</f>
        <v>0</v>
      </c>
      <c r="O706" s="8" t="s">
        <v>0</v>
      </c>
      <c r="P706" s="17">
        <f>+P676+P662</f>
        <v>405293.25</v>
      </c>
    </row>
    <row r="708" spans="2:16" ht="11.25" customHeight="1" x14ac:dyDescent="0.25">
      <c r="B708" s="11" t="s">
        <v>267</v>
      </c>
      <c r="F708" s="7" t="s">
        <v>268</v>
      </c>
    </row>
    <row r="709" spans="2:16" x14ac:dyDescent="0.25">
      <c r="B709" s="11" t="s">
        <v>269</v>
      </c>
      <c r="F709" s="7">
        <v>200</v>
      </c>
    </row>
    <row r="710" spans="2:16" x14ac:dyDescent="0.25">
      <c r="D710" s="3" t="s">
        <v>86</v>
      </c>
      <c r="F710" s="7">
        <v>50211020</v>
      </c>
      <c r="H710" s="17">
        <v>1300000</v>
      </c>
      <c r="J710" s="17">
        <v>1300000</v>
      </c>
      <c r="L710" s="17">
        <v>1300000</v>
      </c>
      <c r="N710" s="17">
        <v>0</v>
      </c>
      <c r="P710" s="17">
        <v>0</v>
      </c>
    </row>
    <row r="712" spans="2:16" x14ac:dyDescent="0.25">
      <c r="C712" s="11" t="s">
        <v>270</v>
      </c>
      <c r="H712" s="17">
        <f>+H710</f>
        <v>1300000</v>
      </c>
      <c r="J712" s="17">
        <f>+J710</f>
        <v>1300000</v>
      </c>
      <c r="L712" s="17">
        <f>+L710</f>
        <v>1300000</v>
      </c>
      <c r="N712" s="17">
        <f>+N710</f>
        <v>0</v>
      </c>
      <c r="P712" s="17">
        <f>+P710</f>
        <v>0</v>
      </c>
    </row>
    <row r="714" spans="2:16" x14ac:dyDescent="0.25">
      <c r="B714" s="11" t="s">
        <v>271</v>
      </c>
      <c r="F714" s="7" t="s">
        <v>272</v>
      </c>
    </row>
    <row r="715" spans="2:16" x14ac:dyDescent="0.25">
      <c r="B715" s="11" t="s">
        <v>160</v>
      </c>
      <c r="F715" s="7">
        <v>100</v>
      </c>
      <c r="H715" s="17">
        <f>SUM(H716:H728)</f>
        <v>1255624.51</v>
      </c>
      <c r="J715" s="17">
        <f>SUM(J716:J728)</f>
        <v>1255624.51</v>
      </c>
      <c r="L715" s="17">
        <f>SUM(L716:L728)</f>
        <v>551292.06000000006</v>
      </c>
      <c r="N715" s="17">
        <f>SUM(N716:N728)</f>
        <v>0</v>
      </c>
      <c r="P715" s="17">
        <f>SUM(P716:P728)</f>
        <v>704332.45</v>
      </c>
    </row>
    <row r="716" spans="2:16" x14ac:dyDescent="0.25">
      <c r="D716" s="3" t="s">
        <v>8</v>
      </c>
      <c r="F716" s="7">
        <v>50101010</v>
      </c>
      <c r="H716" s="8">
        <v>713836.29</v>
      </c>
      <c r="J716" s="8">
        <v>713836.29</v>
      </c>
      <c r="L716" s="8">
        <v>375363.69</v>
      </c>
      <c r="N716" s="8">
        <v>0</v>
      </c>
      <c r="P716" s="8">
        <v>338472.6</v>
      </c>
    </row>
    <row r="717" spans="2:16" x14ac:dyDescent="0.25">
      <c r="D717" s="3" t="s">
        <v>162</v>
      </c>
      <c r="F717" s="7">
        <v>50102010</v>
      </c>
      <c r="H717" s="8">
        <v>56580.65</v>
      </c>
      <c r="J717" s="8">
        <v>56580.65</v>
      </c>
      <c r="L717" s="8">
        <v>31099.72</v>
      </c>
      <c r="N717" s="8">
        <v>0</v>
      </c>
      <c r="P717" s="8">
        <v>25480.93</v>
      </c>
    </row>
    <row r="718" spans="2:16" x14ac:dyDescent="0.25">
      <c r="D718" s="3" t="s">
        <v>776</v>
      </c>
      <c r="F718" s="7">
        <v>50102020</v>
      </c>
      <c r="H718" s="8">
        <v>26500</v>
      </c>
      <c r="J718" s="8">
        <v>26500</v>
      </c>
      <c r="L718" s="8">
        <v>0</v>
      </c>
      <c r="N718" s="8">
        <v>0</v>
      </c>
      <c r="P718" s="8">
        <v>26500</v>
      </c>
    </row>
    <row r="719" spans="2:16" x14ac:dyDescent="0.25">
      <c r="D719" s="3" t="s">
        <v>60</v>
      </c>
      <c r="F719" s="7">
        <v>50102030</v>
      </c>
      <c r="H719" s="8">
        <v>26500</v>
      </c>
      <c r="J719" s="8">
        <v>26500</v>
      </c>
      <c r="L719" s="8">
        <v>0</v>
      </c>
      <c r="N719" s="8">
        <v>0</v>
      </c>
      <c r="P719" s="8">
        <v>26500</v>
      </c>
    </row>
    <row r="720" spans="2:16" x14ac:dyDescent="0.25">
      <c r="D720" s="3" t="s">
        <v>11</v>
      </c>
      <c r="F720" s="7">
        <v>50102040</v>
      </c>
      <c r="H720" s="8">
        <v>20000</v>
      </c>
      <c r="J720" s="8">
        <v>20000</v>
      </c>
      <c r="L720" s="8">
        <v>5000</v>
      </c>
      <c r="N720" s="8">
        <v>0</v>
      </c>
      <c r="P720" s="8">
        <v>15000</v>
      </c>
    </row>
    <row r="721" spans="2:16" x14ac:dyDescent="0.25">
      <c r="D721" s="3" t="s">
        <v>61</v>
      </c>
      <c r="F721" s="7">
        <v>50102120</v>
      </c>
      <c r="H721" s="8">
        <v>10000</v>
      </c>
      <c r="J721" s="8">
        <v>10000</v>
      </c>
      <c r="L721" s="8">
        <v>5000</v>
      </c>
      <c r="N721" s="8">
        <v>0</v>
      </c>
      <c r="P721" s="8">
        <v>5000</v>
      </c>
    </row>
    <row r="722" spans="2:16" x14ac:dyDescent="0.25">
      <c r="D722" s="3" t="s">
        <v>12</v>
      </c>
      <c r="F722" s="7">
        <v>50102140</v>
      </c>
      <c r="H722" s="8">
        <v>257952</v>
      </c>
      <c r="J722" s="8">
        <v>257952</v>
      </c>
      <c r="L722" s="8">
        <v>67874</v>
      </c>
      <c r="N722" s="8">
        <v>0</v>
      </c>
      <c r="P722" s="8">
        <v>190078</v>
      </c>
    </row>
    <row r="723" spans="2:16" x14ac:dyDescent="0.25">
      <c r="D723" s="3" t="s">
        <v>13</v>
      </c>
      <c r="F723" s="7">
        <v>50102150</v>
      </c>
      <c r="H723" s="8">
        <v>20000</v>
      </c>
      <c r="J723" s="8">
        <v>20000</v>
      </c>
      <c r="L723" s="8">
        <v>5000</v>
      </c>
      <c r="N723" s="8">
        <v>0</v>
      </c>
      <c r="P723" s="8">
        <v>15000</v>
      </c>
    </row>
    <row r="724" spans="2:16" x14ac:dyDescent="0.25">
      <c r="D724" s="3" t="s">
        <v>164</v>
      </c>
      <c r="F724" s="7">
        <v>50103010</v>
      </c>
      <c r="H724" s="8">
        <v>91430.57</v>
      </c>
      <c r="J724" s="8">
        <v>91430.57</v>
      </c>
      <c r="L724" s="8">
        <v>47813.120000000003</v>
      </c>
      <c r="N724" s="8">
        <v>0</v>
      </c>
      <c r="P724" s="8">
        <v>43617.45</v>
      </c>
    </row>
    <row r="725" spans="2:16" x14ac:dyDescent="0.25">
      <c r="D725" s="3" t="s">
        <v>14</v>
      </c>
      <c r="F725" s="7">
        <v>50103020</v>
      </c>
      <c r="H725" s="8">
        <v>2900</v>
      </c>
      <c r="J725" s="8">
        <v>2900</v>
      </c>
      <c r="L725" s="8">
        <v>1800</v>
      </c>
      <c r="N725" s="8">
        <v>0</v>
      </c>
      <c r="P725" s="8">
        <v>1100</v>
      </c>
    </row>
    <row r="726" spans="2:16" x14ac:dyDescent="0.25">
      <c r="D726" s="3" t="s">
        <v>15</v>
      </c>
      <c r="F726" s="7">
        <v>50103030</v>
      </c>
      <c r="H726" s="8">
        <v>7125</v>
      </c>
      <c r="J726" s="8">
        <v>7125</v>
      </c>
      <c r="L726" s="8">
        <v>5599.63</v>
      </c>
      <c r="N726" s="8">
        <v>0</v>
      </c>
      <c r="P726" s="8">
        <v>1525.37</v>
      </c>
    </row>
    <row r="727" spans="2:16" x14ac:dyDescent="0.25">
      <c r="D727" s="3" t="s">
        <v>165</v>
      </c>
      <c r="F727" s="7">
        <v>50103040</v>
      </c>
      <c r="H727" s="8">
        <v>2800</v>
      </c>
      <c r="J727" s="8">
        <v>2800</v>
      </c>
      <c r="L727" s="8">
        <v>1741.9</v>
      </c>
      <c r="N727" s="8">
        <v>0</v>
      </c>
      <c r="P727" s="8">
        <v>1058.0999999999999</v>
      </c>
    </row>
    <row r="728" spans="2:16" x14ac:dyDescent="0.25">
      <c r="D728" s="3" t="s">
        <v>16</v>
      </c>
      <c r="F728" s="7">
        <v>50104990</v>
      </c>
      <c r="H728" s="8">
        <v>20000</v>
      </c>
      <c r="J728" s="8">
        <v>20000</v>
      </c>
      <c r="L728" s="8">
        <v>5000</v>
      </c>
      <c r="N728" s="8">
        <v>0</v>
      </c>
      <c r="P728" s="8">
        <v>15000</v>
      </c>
    </row>
    <row r="729" spans="2:16" x14ac:dyDescent="0.25">
      <c r="B729" s="11" t="s">
        <v>166</v>
      </c>
      <c r="H729" s="17">
        <f>SUM(H730:H734)</f>
        <v>100900</v>
      </c>
      <c r="J729" s="17">
        <f>SUM(J730:J734)</f>
        <v>73400</v>
      </c>
      <c r="L729" s="17">
        <f>SUM(L730:L734)</f>
        <v>48300</v>
      </c>
      <c r="N729" s="17">
        <f>SUM(N730:N734)</f>
        <v>27500</v>
      </c>
      <c r="P729" s="17">
        <f>SUM(P730:P734)</f>
        <v>25100</v>
      </c>
    </row>
    <row r="730" spans="2:16" x14ac:dyDescent="0.25">
      <c r="D730" s="3" t="s">
        <v>21</v>
      </c>
      <c r="F730" s="7">
        <v>50204010</v>
      </c>
      <c r="H730" s="8">
        <v>3400</v>
      </c>
      <c r="J730" s="8">
        <v>3400</v>
      </c>
      <c r="L730" s="8">
        <v>3300</v>
      </c>
      <c r="N730" s="8">
        <v>0</v>
      </c>
      <c r="P730" s="8">
        <v>100</v>
      </c>
    </row>
    <row r="731" spans="2:16" x14ac:dyDescent="0.25">
      <c r="D731" s="3" t="s">
        <v>79</v>
      </c>
      <c r="F731" s="7">
        <v>50205010</v>
      </c>
      <c r="H731" s="8">
        <v>5000</v>
      </c>
      <c r="J731" s="8">
        <v>5000</v>
      </c>
      <c r="L731" s="8">
        <v>5000</v>
      </c>
      <c r="N731" s="8">
        <v>0</v>
      </c>
      <c r="P731" s="8">
        <v>0</v>
      </c>
    </row>
    <row r="732" spans="2:16" x14ac:dyDescent="0.25">
      <c r="D732" s="3" t="s">
        <v>22</v>
      </c>
      <c r="F732" s="7">
        <v>50205020</v>
      </c>
      <c r="H732" s="8">
        <v>40000</v>
      </c>
      <c r="J732" s="8">
        <v>40000</v>
      </c>
      <c r="L732" s="8">
        <v>40000</v>
      </c>
      <c r="N732" s="8">
        <v>0</v>
      </c>
      <c r="P732" s="8">
        <v>0</v>
      </c>
    </row>
    <row r="733" spans="2:16" x14ac:dyDescent="0.25">
      <c r="D733" s="3" t="s">
        <v>27</v>
      </c>
      <c r="F733" s="7">
        <v>50213050</v>
      </c>
      <c r="H733" s="8">
        <v>2500</v>
      </c>
      <c r="J733" s="8">
        <v>0</v>
      </c>
      <c r="L733" s="8">
        <v>0</v>
      </c>
      <c r="N733" s="8">
        <v>2500</v>
      </c>
      <c r="P733" s="8">
        <v>0</v>
      </c>
    </row>
    <row r="734" spans="2:16" x14ac:dyDescent="0.25">
      <c r="D734" s="3" t="s">
        <v>55</v>
      </c>
      <c r="F734" s="7">
        <v>50299070</v>
      </c>
      <c r="H734" s="95">
        <v>50000</v>
      </c>
      <c r="I734" s="95"/>
      <c r="J734" s="95">
        <v>25000</v>
      </c>
      <c r="K734" s="95"/>
      <c r="L734" s="95">
        <v>0</v>
      </c>
      <c r="M734" s="95"/>
      <c r="N734" s="95">
        <v>25000</v>
      </c>
      <c r="O734" s="95"/>
      <c r="P734" s="95">
        <v>25000</v>
      </c>
    </row>
    <row r="736" spans="2:16" x14ac:dyDescent="0.25">
      <c r="C736" s="11" t="s">
        <v>273</v>
      </c>
      <c r="H736" s="17">
        <f>+H729+H715</f>
        <v>1356524.51</v>
      </c>
      <c r="I736" s="8" t="s">
        <v>0</v>
      </c>
      <c r="J736" s="17">
        <f>+J729+J715</f>
        <v>1329024.51</v>
      </c>
      <c r="K736" s="8" t="s">
        <v>0</v>
      </c>
      <c r="L736" s="17">
        <f>+L729+L715</f>
        <v>599592.06000000006</v>
      </c>
      <c r="M736" s="8" t="s">
        <v>0</v>
      </c>
      <c r="N736" s="17">
        <f>+N729+N715</f>
        <v>27500</v>
      </c>
      <c r="O736" s="8" t="s">
        <v>0</v>
      </c>
      <c r="P736" s="17">
        <f>+P729+P715</f>
        <v>729432.45</v>
      </c>
    </row>
    <row r="738" spans="2:16" x14ac:dyDescent="0.25">
      <c r="B738" s="11" t="s">
        <v>274</v>
      </c>
      <c r="F738" s="7" t="s">
        <v>275</v>
      </c>
    </row>
    <row r="739" spans="2:16" x14ac:dyDescent="0.25">
      <c r="B739" s="11" t="s">
        <v>269</v>
      </c>
      <c r="F739" s="7">
        <v>200</v>
      </c>
      <c r="H739" s="17">
        <f>SUM(H740:H746)</f>
        <v>891000</v>
      </c>
      <c r="J739" s="17">
        <f>SUM(J740:J746)</f>
        <v>891000</v>
      </c>
      <c r="L739" s="17">
        <f>SUM(L740:L746)</f>
        <v>781836.49</v>
      </c>
      <c r="N739" s="17">
        <f>SUM(N740:N746)</f>
        <v>0</v>
      </c>
      <c r="P739" s="17">
        <f>SUM(P740:P746)</f>
        <v>109163.51</v>
      </c>
    </row>
    <row r="740" spans="2:16" x14ac:dyDescent="0.25">
      <c r="D740" s="3" t="s">
        <v>760</v>
      </c>
      <c r="F740" s="7">
        <v>50201010</v>
      </c>
      <c r="H740" s="8">
        <v>90000</v>
      </c>
      <c r="J740" s="8">
        <v>90000</v>
      </c>
      <c r="L740" s="8">
        <v>41475.57</v>
      </c>
      <c r="N740" s="8">
        <v>0</v>
      </c>
      <c r="P740" s="8">
        <v>48524.43</v>
      </c>
    </row>
    <row r="741" spans="2:16" x14ac:dyDescent="0.25">
      <c r="D741" s="3" t="s">
        <v>19</v>
      </c>
      <c r="F741" s="7">
        <v>50202010</v>
      </c>
      <c r="H741" s="8">
        <v>50000</v>
      </c>
      <c r="J741" s="8">
        <v>50000</v>
      </c>
      <c r="L741" s="8">
        <v>45386.12</v>
      </c>
      <c r="N741" s="8">
        <v>0</v>
      </c>
      <c r="P741" s="8">
        <v>4613.88</v>
      </c>
    </row>
    <row r="742" spans="2:16" x14ac:dyDescent="0.25">
      <c r="D742" s="3" t="s">
        <v>36</v>
      </c>
      <c r="F742" s="7">
        <v>50203010</v>
      </c>
      <c r="H742" s="8">
        <v>80000</v>
      </c>
      <c r="J742" s="8">
        <v>80000</v>
      </c>
      <c r="L742" s="8">
        <v>44174</v>
      </c>
      <c r="N742" s="8">
        <v>0</v>
      </c>
      <c r="P742" s="8">
        <v>35826</v>
      </c>
    </row>
    <row r="743" spans="2:16" x14ac:dyDescent="0.25">
      <c r="D743" s="3" t="s">
        <v>21</v>
      </c>
      <c r="F743" s="7">
        <v>50204010</v>
      </c>
      <c r="H743" s="8">
        <v>15000</v>
      </c>
      <c r="J743" s="8">
        <v>15000</v>
      </c>
      <c r="L743" s="8">
        <v>8954.19</v>
      </c>
      <c r="N743" s="8">
        <v>0</v>
      </c>
      <c r="P743" s="8">
        <v>6045.81</v>
      </c>
    </row>
    <row r="744" spans="2:16" x14ac:dyDescent="0.25">
      <c r="D744" s="3" t="s">
        <v>63</v>
      </c>
      <c r="F744" s="7">
        <v>50204020</v>
      </c>
      <c r="H744" s="8">
        <v>132000</v>
      </c>
      <c r="J744" s="8">
        <v>132000</v>
      </c>
      <c r="L744" s="8">
        <v>126831.58</v>
      </c>
      <c r="N744" s="8">
        <v>0</v>
      </c>
      <c r="P744" s="8">
        <v>5168.42</v>
      </c>
    </row>
    <row r="745" spans="2:16" x14ac:dyDescent="0.25">
      <c r="D745" s="3" t="s">
        <v>22</v>
      </c>
      <c r="F745" s="7">
        <v>50205020</v>
      </c>
      <c r="H745" s="8">
        <v>20000</v>
      </c>
      <c r="J745" s="8">
        <v>20000</v>
      </c>
      <c r="L745" s="8">
        <v>11015.03</v>
      </c>
      <c r="N745" s="8">
        <v>0</v>
      </c>
      <c r="P745" s="8">
        <v>8984.9699999999993</v>
      </c>
    </row>
    <row r="746" spans="2:16" x14ac:dyDescent="0.25">
      <c r="D746" s="3" t="s">
        <v>25</v>
      </c>
      <c r="F746" s="7">
        <v>50211990</v>
      </c>
      <c r="H746" s="8">
        <v>504000</v>
      </c>
      <c r="J746" s="8">
        <v>504000</v>
      </c>
      <c r="L746" s="8">
        <v>504000</v>
      </c>
      <c r="N746" s="8">
        <v>0</v>
      </c>
      <c r="P746" s="8">
        <f>J746-L746</f>
        <v>0</v>
      </c>
    </row>
    <row r="748" spans="2:16" x14ac:dyDescent="0.25">
      <c r="C748" s="11" t="s">
        <v>276</v>
      </c>
      <c r="H748" s="17">
        <f>+H739</f>
        <v>891000</v>
      </c>
      <c r="I748" s="8" t="s">
        <v>0</v>
      </c>
      <c r="J748" s="17">
        <f>+J739</f>
        <v>891000</v>
      </c>
      <c r="K748" s="8" t="s">
        <v>0</v>
      </c>
      <c r="L748" s="17">
        <f>+L739</f>
        <v>781836.49</v>
      </c>
      <c r="M748" s="8" t="s">
        <v>0</v>
      </c>
      <c r="N748" s="17">
        <f>+N739</f>
        <v>0</v>
      </c>
      <c r="O748" s="8" t="s">
        <v>0</v>
      </c>
      <c r="P748" s="17">
        <f>+P739</f>
        <v>109163.51</v>
      </c>
    </row>
    <row r="750" spans="2:16" x14ac:dyDescent="0.25">
      <c r="B750" s="11" t="s">
        <v>277</v>
      </c>
      <c r="F750" s="7" t="s">
        <v>278</v>
      </c>
    </row>
    <row r="751" spans="2:16" x14ac:dyDescent="0.25">
      <c r="B751" s="11" t="s">
        <v>166</v>
      </c>
      <c r="F751" s="7">
        <v>200</v>
      </c>
      <c r="H751" s="17">
        <f>SUM(H752:H756)</f>
        <v>466000</v>
      </c>
      <c r="J751" s="17">
        <f>SUM(J752:J756)</f>
        <v>466000</v>
      </c>
      <c r="L751" s="17">
        <f>SUM(L752:L756)</f>
        <v>459459.48</v>
      </c>
      <c r="N751" s="17">
        <f>SUM(N752:N756)</f>
        <v>0</v>
      </c>
      <c r="P751" s="17">
        <f>SUM(P752:P756)</f>
        <v>6540.52</v>
      </c>
    </row>
    <row r="752" spans="2:16" x14ac:dyDescent="0.25">
      <c r="D752" s="3" t="s">
        <v>760</v>
      </c>
      <c r="F752" s="7">
        <v>50201010</v>
      </c>
      <c r="H752" s="8">
        <v>100000</v>
      </c>
      <c r="J752" s="8">
        <v>100000</v>
      </c>
      <c r="L752" s="8">
        <v>94696.48</v>
      </c>
      <c r="N752" s="8">
        <v>0</v>
      </c>
      <c r="P752" s="8">
        <v>5303.52</v>
      </c>
    </row>
    <row r="753" spans="2:16" x14ac:dyDescent="0.25">
      <c r="D753" s="3" t="s">
        <v>19</v>
      </c>
      <c r="F753" s="7">
        <v>50202010</v>
      </c>
      <c r="H753" s="8">
        <v>50000</v>
      </c>
      <c r="J753" s="8">
        <v>50000</v>
      </c>
      <c r="L753" s="8">
        <v>50000</v>
      </c>
      <c r="N753" s="8">
        <v>0</v>
      </c>
      <c r="P753" s="8">
        <v>0</v>
      </c>
    </row>
    <row r="754" spans="2:16" x14ac:dyDescent="0.25">
      <c r="D754" s="3" t="s">
        <v>36</v>
      </c>
      <c r="F754" s="7">
        <v>50203010</v>
      </c>
      <c r="H754" s="8">
        <v>108000</v>
      </c>
      <c r="J754" s="8">
        <v>108000</v>
      </c>
      <c r="L754" s="8">
        <v>107031</v>
      </c>
      <c r="N754" s="8">
        <v>0</v>
      </c>
      <c r="P754" s="8">
        <v>969</v>
      </c>
    </row>
    <row r="755" spans="2:16" x14ac:dyDescent="0.25">
      <c r="D755" s="3" t="s">
        <v>21</v>
      </c>
      <c r="F755" s="7">
        <v>50204010</v>
      </c>
      <c r="H755" s="8">
        <v>7000</v>
      </c>
      <c r="J755" s="8">
        <v>7000</v>
      </c>
      <c r="L755" s="8">
        <v>6732</v>
      </c>
      <c r="N755" s="8">
        <v>0</v>
      </c>
      <c r="P755" s="8">
        <v>268</v>
      </c>
    </row>
    <row r="756" spans="2:16" x14ac:dyDescent="0.25">
      <c r="D756" s="3" t="s">
        <v>25</v>
      </c>
      <c r="F756" s="7">
        <v>50211990</v>
      </c>
      <c r="H756" s="8">
        <v>201000</v>
      </c>
      <c r="J756" s="8">
        <v>201000</v>
      </c>
      <c r="L756" s="8">
        <v>201000</v>
      </c>
      <c r="N756" s="8">
        <v>0</v>
      </c>
      <c r="P756" s="8">
        <v>0</v>
      </c>
    </row>
    <row r="758" spans="2:16" x14ac:dyDescent="0.25">
      <c r="C758" s="11" t="s">
        <v>279</v>
      </c>
      <c r="H758" s="17">
        <f>+H751</f>
        <v>466000</v>
      </c>
      <c r="I758" s="8" t="s">
        <v>0</v>
      </c>
      <c r="J758" s="17">
        <f>+J751</f>
        <v>466000</v>
      </c>
      <c r="K758" s="8" t="s">
        <v>0</v>
      </c>
      <c r="L758" s="17">
        <f>+L751</f>
        <v>459459.48</v>
      </c>
      <c r="M758" s="8" t="s">
        <v>0</v>
      </c>
      <c r="N758" s="17">
        <f>+N751</f>
        <v>0</v>
      </c>
      <c r="O758" s="8" t="s">
        <v>0</v>
      </c>
      <c r="P758" s="17">
        <f>+P751</f>
        <v>6540.52</v>
      </c>
    </row>
    <row r="760" spans="2:16" x14ac:dyDescent="0.25">
      <c r="B760" s="11" t="s">
        <v>280</v>
      </c>
      <c r="F760" s="7" t="s">
        <v>281</v>
      </c>
    </row>
    <row r="761" spans="2:16" x14ac:dyDescent="0.25">
      <c r="B761" s="11" t="s">
        <v>269</v>
      </c>
      <c r="F761" s="7">
        <v>200</v>
      </c>
      <c r="H761" s="17">
        <f>SUM(H762:H767)</f>
        <v>502000</v>
      </c>
      <c r="J761" s="17">
        <f>SUM(J762:J767)</f>
        <v>502000</v>
      </c>
      <c r="L761" s="17">
        <f>SUM(L762:L767)</f>
        <v>291212.70999999996</v>
      </c>
      <c r="N761" s="17">
        <f>SUM(N762:N767)</f>
        <v>0</v>
      </c>
      <c r="P761" s="17">
        <f>SUM(P762:P767)</f>
        <v>210787.28999999998</v>
      </c>
    </row>
    <row r="762" spans="2:16" x14ac:dyDescent="0.25">
      <c r="D762" s="3" t="s">
        <v>760</v>
      </c>
      <c r="F762" s="7">
        <v>50201010</v>
      </c>
      <c r="H762" s="8">
        <v>100000</v>
      </c>
      <c r="J762" s="8">
        <v>100000</v>
      </c>
      <c r="L762" s="8">
        <v>60909.14</v>
      </c>
      <c r="N762" s="8">
        <v>0</v>
      </c>
      <c r="P762" s="8">
        <v>39090.86</v>
      </c>
    </row>
    <row r="763" spans="2:16" x14ac:dyDescent="0.25">
      <c r="D763" s="3" t="s">
        <v>19</v>
      </c>
      <c r="F763" s="7">
        <v>50202010</v>
      </c>
      <c r="H763" s="8">
        <v>50000</v>
      </c>
      <c r="J763" s="8">
        <v>50000</v>
      </c>
      <c r="L763" s="8">
        <v>16000</v>
      </c>
      <c r="N763" s="8">
        <v>0</v>
      </c>
      <c r="P763" s="8">
        <v>34000</v>
      </c>
    </row>
    <row r="764" spans="2:16" x14ac:dyDescent="0.25">
      <c r="D764" s="3" t="s">
        <v>36</v>
      </c>
      <c r="F764" s="7">
        <v>50203010</v>
      </c>
      <c r="H764" s="8">
        <v>100000</v>
      </c>
      <c r="J764" s="8">
        <v>100000</v>
      </c>
      <c r="L764" s="8">
        <v>0</v>
      </c>
      <c r="N764" s="8">
        <v>0</v>
      </c>
      <c r="P764" s="8">
        <v>100000</v>
      </c>
    </row>
    <row r="765" spans="2:16" x14ac:dyDescent="0.25">
      <c r="D765" s="3" t="s">
        <v>21</v>
      </c>
      <c r="F765" s="7">
        <v>50204010</v>
      </c>
      <c r="H765" s="8">
        <v>5000</v>
      </c>
      <c r="J765" s="8">
        <v>5000</v>
      </c>
      <c r="L765" s="8">
        <v>0</v>
      </c>
      <c r="N765" s="8">
        <v>0</v>
      </c>
      <c r="P765" s="8">
        <v>5000</v>
      </c>
    </row>
    <row r="766" spans="2:16" x14ac:dyDescent="0.25">
      <c r="D766" s="3" t="s">
        <v>64</v>
      </c>
      <c r="F766" s="7">
        <v>50205030</v>
      </c>
      <c r="H766" s="8">
        <v>12000</v>
      </c>
      <c r="J766" s="8">
        <v>12000</v>
      </c>
      <c r="L766" s="8">
        <v>10303.57</v>
      </c>
      <c r="N766" s="8">
        <v>0</v>
      </c>
      <c r="P766" s="8">
        <v>1696.43</v>
      </c>
    </row>
    <row r="767" spans="2:16" x14ac:dyDescent="0.25">
      <c r="D767" s="3" t="s">
        <v>25</v>
      </c>
      <c r="F767" s="7">
        <v>50211990</v>
      </c>
      <c r="H767" s="8">
        <v>235000</v>
      </c>
      <c r="J767" s="8">
        <v>235000</v>
      </c>
      <c r="L767" s="8">
        <v>204000</v>
      </c>
      <c r="N767" s="8">
        <v>0</v>
      </c>
      <c r="P767" s="8">
        <v>31000</v>
      </c>
    </row>
    <row r="769" spans="2:16" x14ac:dyDescent="0.25">
      <c r="C769" s="11" t="s">
        <v>282</v>
      </c>
      <c r="H769" s="17">
        <f>+H761</f>
        <v>502000</v>
      </c>
      <c r="I769" s="8" t="s">
        <v>0</v>
      </c>
      <c r="J769" s="17">
        <f>+J761</f>
        <v>502000</v>
      </c>
      <c r="K769" s="8" t="s">
        <v>0</v>
      </c>
      <c r="L769" s="17">
        <f>+L761</f>
        <v>291212.70999999996</v>
      </c>
      <c r="M769" s="8" t="s">
        <v>0</v>
      </c>
      <c r="N769" s="17">
        <f>+N761</f>
        <v>0</v>
      </c>
      <c r="O769" s="8" t="s">
        <v>0</v>
      </c>
      <c r="P769" s="17">
        <f>+P761</f>
        <v>210787.28999999998</v>
      </c>
    </row>
    <row r="771" spans="2:16" x14ac:dyDescent="0.25">
      <c r="B771" s="11" t="s">
        <v>87</v>
      </c>
    </row>
    <row r="772" spans="2:16" x14ac:dyDescent="0.25">
      <c r="B772" s="11" t="s">
        <v>283</v>
      </c>
      <c r="F772" s="7" t="s">
        <v>284</v>
      </c>
    </row>
    <row r="773" spans="2:16" x14ac:dyDescent="0.25">
      <c r="B773" s="11" t="s">
        <v>269</v>
      </c>
      <c r="F773" s="7" t="s">
        <v>285</v>
      </c>
      <c r="H773" s="17">
        <f>SUM(H775:H809)</f>
        <v>78168000</v>
      </c>
      <c r="J773" s="17">
        <f>SUM(J775:J809)</f>
        <v>78168000</v>
      </c>
      <c r="L773" s="17">
        <f>SUM(L775:L809)</f>
        <v>70370394.609999999</v>
      </c>
      <c r="N773" s="17">
        <f>SUM(N775:N809)</f>
        <v>0</v>
      </c>
      <c r="P773" s="17">
        <f>SUM(P775:P809)</f>
        <v>7797605.3899999997</v>
      </c>
    </row>
    <row r="774" spans="2:16" x14ac:dyDescent="0.25">
      <c r="B774" s="11"/>
      <c r="C774" s="11" t="s">
        <v>286</v>
      </c>
      <c r="F774" s="7">
        <v>50214030</v>
      </c>
    </row>
    <row r="775" spans="2:16" x14ac:dyDescent="0.25">
      <c r="D775" s="3" t="s">
        <v>610</v>
      </c>
      <c r="H775" s="8">
        <v>370000</v>
      </c>
      <c r="J775" s="8">
        <v>370000</v>
      </c>
      <c r="L775" s="8">
        <v>306344.52</v>
      </c>
      <c r="N775" s="8">
        <v>0</v>
      </c>
      <c r="P775" s="8">
        <v>63655.48</v>
      </c>
    </row>
    <row r="776" spans="2:16" x14ac:dyDescent="0.25">
      <c r="D776" s="3" t="s">
        <v>611</v>
      </c>
      <c r="H776" s="8">
        <v>875000</v>
      </c>
      <c r="J776" s="8">
        <v>875000</v>
      </c>
      <c r="L776" s="103">
        <v>865262.58</v>
      </c>
      <c r="N776" s="8">
        <v>0</v>
      </c>
      <c r="P776" s="103">
        <f>+J776-L776</f>
        <v>9737.4200000000419</v>
      </c>
    </row>
    <row r="777" spans="2:16" x14ac:dyDescent="0.25">
      <c r="D777" s="3" t="s">
        <v>612</v>
      </c>
      <c r="H777" s="8">
        <v>705000</v>
      </c>
      <c r="J777" s="8">
        <v>705000</v>
      </c>
      <c r="L777" s="103">
        <v>694825.94</v>
      </c>
      <c r="N777" s="8">
        <v>0</v>
      </c>
      <c r="P777" s="103">
        <f>+J777-L777</f>
        <v>10174.060000000056</v>
      </c>
    </row>
    <row r="778" spans="2:16" x14ac:dyDescent="0.25">
      <c r="D778" s="3" t="s">
        <v>613</v>
      </c>
      <c r="H778" s="8">
        <v>500000</v>
      </c>
      <c r="J778" s="8">
        <v>500000</v>
      </c>
      <c r="L778" s="8">
        <v>411665.65</v>
      </c>
      <c r="N778" s="8">
        <v>0</v>
      </c>
      <c r="P778" s="8">
        <v>88334.35</v>
      </c>
    </row>
    <row r="779" spans="2:16" x14ac:dyDescent="0.25">
      <c r="D779" s="3" t="s">
        <v>614</v>
      </c>
      <c r="H779" s="8">
        <v>1000000</v>
      </c>
      <c r="J779" s="8">
        <v>1000000</v>
      </c>
      <c r="L779" s="8">
        <v>914788</v>
      </c>
      <c r="N779" s="8">
        <v>0</v>
      </c>
      <c r="P779" s="8">
        <v>85212</v>
      </c>
    </row>
    <row r="780" spans="2:16" x14ac:dyDescent="0.25">
      <c r="D780" s="3" t="s">
        <v>615</v>
      </c>
      <c r="H780" s="8">
        <v>880000</v>
      </c>
      <c r="J780" s="8">
        <v>880000</v>
      </c>
      <c r="L780" s="104">
        <v>869321.48</v>
      </c>
      <c r="N780" s="8">
        <v>0</v>
      </c>
      <c r="P780" s="104">
        <f>+J780-L780</f>
        <v>10678.520000000019</v>
      </c>
    </row>
    <row r="781" spans="2:16" x14ac:dyDescent="0.25">
      <c r="D781" s="3" t="s">
        <v>616</v>
      </c>
      <c r="H781" s="8">
        <v>710000</v>
      </c>
      <c r="J781" s="8">
        <v>710000</v>
      </c>
      <c r="L781" s="8">
        <v>611580.14</v>
      </c>
      <c r="N781" s="8">
        <v>0</v>
      </c>
      <c r="P781" s="8">
        <v>98419.86</v>
      </c>
    </row>
    <row r="782" spans="2:16" x14ac:dyDescent="0.25">
      <c r="D782" s="3" t="s">
        <v>617</v>
      </c>
      <c r="H782" s="8">
        <v>905000</v>
      </c>
      <c r="J782" s="8">
        <v>905000</v>
      </c>
      <c r="L782" s="8">
        <f>9298.29+886403.42</f>
        <v>895701.71000000008</v>
      </c>
      <c r="N782" s="8">
        <v>0</v>
      </c>
      <c r="P782" s="8">
        <f>+J782-L782</f>
        <v>9298.2899999999208</v>
      </c>
    </row>
    <row r="783" spans="2:16" x14ac:dyDescent="0.25">
      <c r="D783" s="3" t="s">
        <v>618</v>
      </c>
      <c r="H783" s="8">
        <v>750000</v>
      </c>
      <c r="J783" s="8">
        <v>750000</v>
      </c>
      <c r="L783" s="8">
        <v>526492.32999999996</v>
      </c>
      <c r="N783" s="8">
        <v>0</v>
      </c>
      <c r="P783" s="8">
        <v>223507.67</v>
      </c>
    </row>
    <row r="784" spans="2:16" x14ac:dyDescent="0.25">
      <c r="D784" s="3" t="s">
        <v>619</v>
      </c>
      <c r="H784" s="8">
        <v>1080000</v>
      </c>
      <c r="J784" s="8">
        <v>1080000</v>
      </c>
      <c r="L784" s="8">
        <f>9332.27+1061117.67</f>
        <v>1070449.94</v>
      </c>
      <c r="N784" s="8">
        <v>0</v>
      </c>
      <c r="P784" s="8">
        <f>+J784-L784</f>
        <v>9550.0600000000559</v>
      </c>
    </row>
    <row r="785" spans="4:16" x14ac:dyDescent="0.25">
      <c r="D785" s="3" t="s">
        <v>620</v>
      </c>
      <c r="H785" s="8">
        <v>910000</v>
      </c>
      <c r="J785" s="8">
        <v>910000</v>
      </c>
      <c r="L785" s="103">
        <v>878145.04</v>
      </c>
      <c r="N785" s="8">
        <v>0</v>
      </c>
      <c r="P785" s="103">
        <v>31854.959999999999</v>
      </c>
    </row>
    <row r="786" spans="4:16" x14ac:dyDescent="0.25">
      <c r="D786" s="3" t="s">
        <v>621</v>
      </c>
      <c r="H786" s="8">
        <v>1665000</v>
      </c>
      <c r="J786" s="8">
        <v>1665000</v>
      </c>
      <c r="L786" s="103">
        <v>1644228.99</v>
      </c>
      <c r="N786" s="8">
        <v>0</v>
      </c>
      <c r="P786" s="103">
        <v>20771.009999999998</v>
      </c>
    </row>
    <row r="787" spans="4:16" x14ac:dyDescent="0.25">
      <c r="D787" s="3" t="s">
        <v>622</v>
      </c>
      <c r="H787" s="8">
        <v>1020000</v>
      </c>
      <c r="J787" s="8">
        <v>1020000</v>
      </c>
      <c r="L787" s="103">
        <v>1008856</v>
      </c>
      <c r="N787" s="8">
        <v>0</v>
      </c>
      <c r="P787" s="103">
        <v>11144</v>
      </c>
    </row>
    <row r="788" spans="4:16" x14ac:dyDescent="0.25">
      <c r="D788" s="3" t="s">
        <v>623</v>
      </c>
      <c r="H788" s="8">
        <v>755000</v>
      </c>
      <c r="J788" s="8">
        <v>755000</v>
      </c>
      <c r="L788" s="103">
        <v>743390.03</v>
      </c>
      <c r="N788" s="8">
        <v>0</v>
      </c>
      <c r="P788" s="103">
        <v>11609.97</v>
      </c>
    </row>
    <row r="789" spans="4:16" x14ac:dyDescent="0.25">
      <c r="D789" s="3" t="s">
        <v>624</v>
      </c>
      <c r="H789" s="8">
        <v>645000</v>
      </c>
      <c r="J789" s="8">
        <v>645000</v>
      </c>
      <c r="L789" s="103">
        <v>631400.18000000005</v>
      </c>
      <c r="N789" s="8">
        <v>0</v>
      </c>
      <c r="P789" s="103">
        <v>13599.82</v>
      </c>
    </row>
    <row r="790" spans="4:16" x14ac:dyDescent="0.25">
      <c r="D790" s="3" t="s">
        <v>625</v>
      </c>
      <c r="H790" s="8">
        <v>1890000</v>
      </c>
      <c r="J790" s="8">
        <v>1890000</v>
      </c>
      <c r="L790" s="103">
        <v>1866197.05</v>
      </c>
      <c r="N790" s="8">
        <v>0</v>
      </c>
      <c r="P790" s="103">
        <v>23802.95</v>
      </c>
    </row>
    <row r="791" spans="4:16" x14ac:dyDescent="0.25">
      <c r="D791" s="3" t="s">
        <v>626</v>
      </c>
      <c r="H791" s="8">
        <v>58000</v>
      </c>
      <c r="J791" s="8">
        <v>58000</v>
      </c>
      <c r="L791" s="8">
        <v>44085.72</v>
      </c>
      <c r="N791" s="8">
        <v>0</v>
      </c>
      <c r="P791" s="8">
        <v>13914.28</v>
      </c>
    </row>
    <row r="792" spans="4:16" x14ac:dyDescent="0.25">
      <c r="D792" s="21" t="s">
        <v>627</v>
      </c>
      <c r="H792" s="8">
        <v>1490000</v>
      </c>
      <c r="J792" s="8">
        <v>1490000</v>
      </c>
      <c r="L792" s="103">
        <v>1474435.1</v>
      </c>
      <c r="N792" s="8">
        <v>0</v>
      </c>
      <c r="P792" s="103">
        <v>15564.9</v>
      </c>
    </row>
    <row r="793" spans="4:16" x14ac:dyDescent="0.25">
      <c r="D793" s="21" t="s">
        <v>628</v>
      </c>
      <c r="H793" s="8">
        <v>2260000</v>
      </c>
      <c r="J793" s="8">
        <v>2260000</v>
      </c>
      <c r="L793" s="103">
        <v>2228570.65</v>
      </c>
      <c r="N793" s="8">
        <v>0</v>
      </c>
      <c r="P793" s="103">
        <v>31429.35</v>
      </c>
    </row>
    <row r="794" spans="4:16" x14ac:dyDescent="0.25">
      <c r="D794" s="21" t="s">
        <v>629</v>
      </c>
      <c r="H794" s="8">
        <v>1500000</v>
      </c>
      <c r="J794" s="8">
        <v>1500000</v>
      </c>
      <c r="L794" s="8">
        <v>1322870.78</v>
      </c>
      <c r="N794" s="8">
        <v>0</v>
      </c>
      <c r="P794" s="8">
        <v>177129.22</v>
      </c>
    </row>
    <row r="795" spans="4:16" x14ac:dyDescent="0.25">
      <c r="D795" s="3" t="s">
        <v>631</v>
      </c>
      <c r="H795" s="8">
        <v>1000000</v>
      </c>
      <c r="J795" s="8">
        <v>1000000</v>
      </c>
      <c r="L795" s="8">
        <v>897591.86</v>
      </c>
      <c r="N795" s="8">
        <v>0</v>
      </c>
      <c r="P795" s="8">
        <v>102408.14</v>
      </c>
    </row>
    <row r="796" spans="4:16" x14ac:dyDescent="0.25">
      <c r="D796" s="3" t="s">
        <v>630</v>
      </c>
      <c r="H796" s="8">
        <v>1000000</v>
      </c>
      <c r="J796" s="8">
        <v>1000000</v>
      </c>
      <c r="L796" s="8">
        <f>25115.92+948899.21</f>
        <v>974015.13</v>
      </c>
      <c r="N796" s="8">
        <v>0</v>
      </c>
      <c r="P796" s="8">
        <f>+J796-L796</f>
        <v>25984.869999999995</v>
      </c>
    </row>
    <row r="797" spans="4:16" x14ac:dyDescent="0.25">
      <c r="D797" s="3" t="s">
        <v>632</v>
      </c>
      <c r="H797" s="8">
        <v>1000000</v>
      </c>
      <c r="J797" s="8">
        <v>1000000</v>
      </c>
      <c r="L797" s="8">
        <v>929146.14</v>
      </c>
      <c r="N797" s="8">
        <v>0</v>
      </c>
      <c r="P797" s="8">
        <v>70853.86</v>
      </c>
    </row>
    <row r="798" spans="4:16" x14ac:dyDescent="0.25">
      <c r="D798" s="3" t="s">
        <v>633</v>
      </c>
      <c r="H798" s="8">
        <v>1300000</v>
      </c>
      <c r="J798" s="8">
        <v>1300000</v>
      </c>
      <c r="L798" s="8">
        <v>1300000</v>
      </c>
      <c r="N798" s="8">
        <v>0</v>
      </c>
      <c r="P798" s="8">
        <v>0</v>
      </c>
    </row>
    <row r="799" spans="4:16" x14ac:dyDescent="0.25">
      <c r="D799" s="3" t="s">
        <v>634</v>
      </c>
      <c r="H799" s="8">
        <v>1300000</v>
      </c>
      <c r="J799" s="8">
        <v>1300000</v>
      </c>
      <c r="L799" s="8">
        <v>1300000</v>
      </c>
      <c r="N799" s="8">
        <v>0</v>
      </c>
      <c r="P799" s="8">
        <v>0</v>
      </c>
    </row>
    <row r="800" spans="4:16" x14ac:dyDescent="0.25">
      <c r="D800" s="3" t="s">
        <v>635</v>
      </c>
      <c r="H800" s="8">
        <v>1300000</v>
      </c>
      <c r="J800" s="8">
        <v>1300000</v>
      </c>
      <c r="L800" s="8">
        <v>1300000</v>
      </c>
      <c r="N800" s="8">
        <v>0</v>
      </c>
      <c r="P800" s="8">
        <v>0</v>
      </c>
    </row>
    <row r="801" spans="2:16" x14ac:dyDescent="0.25">
      <c r="D801" s="3" t="s">
        <v>636</v>
      </c>
      <c r="H801" s="8">
        <v>1300000</v>
      </c>
      <c r="J801" s="8">
        <v>1300000</v>
      </c>
      <c r="L801" s="8">
        <v>1300000</v>
      </c>
      <c r="N801" s="8">
        <v>0</v>
      </c>
      <c r="P801" s="8">
        <v>0</v>
      </c>
    </row>
    <row r="802" spans="2:16" x14ac:dyDescent="0.25">
      <c r="D802" s="3" t="s">
        <v>637</v>
      </c>
      <c r="H802" s="8">
        <v>500000</v>
      </c>
      <c r="J802" s="8">
        <v>500000</v>
      </c>
      <c r="L802" s="8">
        <v>500000</v>
      </c>
      <c r="N802" s="8">
        <v>0</v>
      </c>
      <c r="P802" s="8">
        <v>0</v>
      </c>
    </row>
    <row r="803" spans="2:16" x14ac:dyDescent="0.25">
      <c r="D803" s="3" t="s">
        <v>638</v>
      </c>
      <c r="H803" s="8">
        <v>1000000</v>
      </c>
      <c r="J803" s="8">
        <v>1000000</v>
      </c>
      <c r="L803" s="8">
        <v>1000000</v>
      </c>
      <c r="N803" s="8">
        <v>0</v>
      </c>
      <c r="P803" s="8">
        <v>0</v>
      </c>
    </row>
    <row r="804" spans="2:16" x14ac:dyDescent="0.25">
      <c r="D804" s="3" t="s">
        <v>734</v>
      </c>
      <c r="H804" s="8">
        <v>1500000</v>
      </c>
      <c r="J804" s="8">
        <v>1500000</v>
      </c>
      <c r="L804" s="8">
        <v>0</v>
      </c>
      <c r="N804" s="8">
        <f>+H804-J804</f>
        <v>0</v>
      </c>
      <c r="P804" s="8">
        <f>+J804</f>
        <v>1500000</v>
      </c>
    </row>
    <row r="805" spans="2:16" x14ac:dyDescent="0.25">
      <c r="D805" s="3" t="s">
        <v>639</v>
      </c>
      <c r="H805" s="8">
        <v>5000000</v>
      </c>
      <c r="J805" s="8">
        <v>5000000</v>
      </c>
      <c r="L805" s="8">
        <v>0</v>
      </c>
      <c r="N805" s="8">
        <f>+H805-J805</f>
        <v>0</v>
      </c>
      <c r="P805" s="8">
        <f>+J805</f>
        <v>5000000</v>
      </c>
    </row>
    <row r="806" spans="2:16" x14ac:dyDescent="0.25">
      <c r="D806" s="3" t="s">
        <v>640</v>
      </c>
      <c r="H806" s="8">
        <v>1000000</v>
      </c>
      <c r="J806" s="8">
        <v>1000000</v>
      </c>
      <c r="L806" s="103">
        <v>933695.66</v>
      </c>
      <c r="N806" s="8">
        <v>0</v>
      </c>
      <c r="P806" s="103">
        <v>66304.34</v>
      </c>
    </row>
    <row r="807" spans="2:16" x14ac:dyDescent="0.25">
      <c r="D807" s="3" t="s">
        <v>641</v>
      </c>
      <c r="H807" s="8">
        <v>1000000</v>
      </c>
      <c r="J807" s="8">
        <v>1000000</v>
      </c>
      <c r="L807" s="8">
        <v>937333.99</v>
      </c>
      <c r="N807" s="8">
        <v>0</v>
      </c>
      <c r="P807" s="8">
        <v>62666.01</v>
      </c>
    </row>
    <row r="808" spans="2:16" x14ac:dyDescent="0.25">
      <c r="C808" s="11" t="s">
        <v>172</v>
      </c>
    </row>
    <row r="809" spans="2:16" x14ac:dyDescent="0.25">
      <c r="D809" s="3" t="s">
        <v>642</v>
      </c>
      <c r="F809" s="7">
        <v>50214060</v>
      </c>
      <c r="H809" s="8">
        <v>40000000</v>
      </c>
      <c r="J809" s="8">
        <v>40000000</v>
      </c>
      <c r="L809" s="8">
        <f>40000000-10000</f>
        <v>39990000</v>
      </c>
      <c r="N809" s="8">
        <v>0</v>
      </c>
      <c r="P809" s="8">
        <f>+J809-L809</f>
        <v>10000</v>
      </c>
    </row>
    <row r="811" spans="2:16" x14ac:dyDescent="0.25">
      <c r="B811" s="11" t="s">
        <v>287</v>
      </c>
      <c r="F811" s="7">
        <v>300</v>
      </c>
      <c r="H811" s="17">
        <f>SUM(H813:H839)</f>
        <v>28871459.899999999</v>
      </c>
      <c r="J811" s="17">
        <f>SUM(J813:J839)</f>
        <v>28371459.899999999</v>
      </c>
      <c r="L811" s="17">
        <f>SUM(L813:L839)</f>
        <v>20472810.120000001</v>
      </c>
      <c r="N811" s="17">
        <f>SUM(N813:N839)</f>
        <v>500000</v>
      </c>
      <c r="P811" s="17">
        <f>SUM(P813:P839)</f>
        <v>7898649.7800000003</v>
      </c>
    </row>
    <row r="812" spans="2:16" x14ac:dyDescent="0.25">
      <c r="B812" s="11"/>
      <c r="C812" s="11" t="s">
        <v>288</v>
      </c>
    </row>
    <row r="813" spans="2:16" x14ac:dyDescent="0.25">
      <c r="D813" s="3" t="s">
        <v>643</v>
      </c>
      <c r="F813" s="7">
        <v>10701010</v>
      </c>
      <c r="H813" s="8">
        <v>700000</v>
      </c>
      <c r="J813" s="8">
        <v>700000</v>
      </c>
      <c r="L813" s="8">
        <v>700000</v>
      </c>
      <c r="N813" s="8">
        <v>0</v>
      </c>
      <c r="P813" s="8">
        <v>0</v>
      </c>
    </row>
    <row r="814" spans="2:16" x14ac:dyDescent="0.25">
      <c r="C814" s="11" t="s">
        <v>214</v>
      </c>
      <c r="F814" s="7">
        <v>10703010</v>
      </c>
    </row>
    <row r="815" spans="2:16" x14ac:dyDescent="0.25">
      <c r="D815" s="88" t="s">
        <v>644</v>
      </c>
      <c r="H815" s="8">
        <v>2000000</v>
      </c>
      <c r="J815" s="8">
        <v>2000000</v>
      </c>
      <c r="L815" s="8">
        <v>590931</v>
      </c>
      <c r="N815" s="8">
        <v>0</v>
      </c>
      <c r="P815" s="8">
        <v>1409069</v>
      </c>
    </row>
    <row r="816" spans="2:16" x14ac:dyDescent="0.25">
      <c r="D816" s="88" t="s">
        <v>732</v>
      </c>
      <c r="H816" s="8">
        <v>1000000</v>
      </c>
      <c r="J816" s="8">
        <v>1000000</v>
      </c>
      <c r="L816" s="8">
        <v>595568.91</v>
      </c>
      <c r="N816" s="8">
        <v>0</v>
      </c>
      <c r="P816" s="8">
        <v>404431.09</v>
      </c>
    </row>
    <row r="817" spans="3:19" x14ac:dyDescent="0.25">
      <c r="E817" s="88" t="s">
        <v>731</v>
      </c>
    </row>
    <row r="818" spans="3:19" x14ac:dyDescent="0.25">
      <c r="C818" s="11" t="s">
        <v>215</v>
      </c>
      <c r="F818" s="7">
        <v>10704010</v>
      </c>
    </row>
    <row r="819" spans="3:19" x14ac:dyDescent="0.25">
      <c r="D819" s="3" t="s">
        <v>645</v>
      </c>
      <c r="H819" s="8">
        <v>2500000</v>
      </c>
      <c r="J819" s="8">
        <v>2500000</v>
      </c>
      <c r="L819" s="8">
        <v>2401460.89</v>
      </c>
      <c r="N819" s="8">
        <v>0</v>
      </c>
      <c r="P819" s="8">
        <v>98539.11</v>
      </c>
    </row>
    <row r="820" spans="3:19" x14ac:dyDescent="0.25">
      <c r="D820" s="3" t="s">
        <v>646</v>
      </c>
      <c r="H820" s="8">
        <v>700000</v>
      </c>
      <c r="J820" s="8">
        <v>700000</v>
      </c>
      <c r="L820" s="103">
        <v>696082.8</v>
      </c>
      <c r="N820" s="8">
        <v>0</v>
      </c>
      <c r="P820" s="103">
        <v>3917.2</v>
      </c>
      <c r="S820" s="3" t="s">
        <v>830</v>
      </c>
    </row>
    <row r="821" spans="3:19" x14ac:dyDescent="0.25">
      <c r="D821" s="3" t="s">
        <v>647</v>
      </c>
      <c r="H821" s="8">
        <v>500000</v>
      </c>
      <c r="J821" s="8">
        <v>500000</v>
      </c>
      <c r="L821" s="8">
        <v>285069.13</v>
      </c>
      <c r="N821" s="8">
        <v>0</v>
      </c>
      <c r="P821" s="8">
        <v>214930.87</v>
      </c>
    </row>
    <row r="822" spans="3:19" x14ac:dyDescent="0.25">
      <c r="D822" s="3" t="s">
        <v>648</v>
      </c>
      <c r="H822" s="8">
        <v>500000</v>
      </c>
      <c r="J822" s="8">
        <v>500000</v>
      </c>
      <c r="L822" s="104">
        <v>473769.45</v>
      </c>
      <c r="N822" s="8">
        <v>0</v>
      </c>
      <c r="P822" s="104">
        <f>+J822-L822</f>
        <v>26230.549999999988</v>
      </c>
      <c r="S822" s="3" t="s">
        <v>829</v>
      </c>
    </row>
    <row r="823" spans="3:19" x14ac:dyDescent="0.25">
      <c r="D823" s="3" t="s">
        <v>649</v>
      </c>
      <c r="H823" s="8">
        <v>500000</v>
      </c>
      <c r="J823" s="8">
        <v>500000</v>
      </c>
      <c r="L823" s="8">
        <v>0</v>
      </c>
      <c r="N823" s="8">
        <v>0</v>
      </c>
      <c r="P823" s="8">
        <v>500000</v>
      </c>
    </row>
    <row r="824" spans="3:19" x14ac:dyDescent="0.25">
      <c r="C824" s="11" t="s">
        <v>216</v>
      </c>
      <c r="F824" s="7">
        <v>10704990</v>
      </c>
    </row>
    <row r="825" spans="3:19" x14ac:dyDescent="0.25">
      <c r="D825" s="3" t="s">
        <v>650</v>
      </c>
      <c r="H825" s="8">
        <v>1500000</v>
      </c>
      <c r="J825" s="8">
        <v>1500000</v>
      </c>
      <c r="L825" s="8">
        <v>0</v>
      </c>
      <c r="N825" s="8">
        <v>0</v>
      </c>
      <c r="P825" s="8">
        <v>1500000</v>
      </c>
    </row>
    <row r="826" spans="3:19" x14ac:dyDescent="0.25">
      <c r="D826" s="3" t="s">
        <v>651</v>
      </c>
      <c r="H826" s="8">
        <v>700000</v>
      </c>
      <c r="J826" s="8">
        <v>700000</v>
      </c>
      <c r="L826" s="104">
        <v>666688.25</v>
      </c>
      <c r="N826" s="8">
        <v>0</v>
      </c>
      <c r="P826" s="104">
        <f>+J826-L826</f>
        <v>33311.75</v>
      </c>
    </row>
    <row r="827" spans="3:19" x14ac:dyDescent="0.25">
      <c r="D827" s="3" t="s">
        <v>652</v>
      </c>
      <c r="H827" s="8">
        <v>2500000</v>
      </c>
      <c r="J827" s="8">
        <v>2500000</v>
      </c>
      <c r="L827" s="8">
        <v>0</v>
      </c>
      <c r="N827" s="8">
        <v>0</v>
      </c>
      <c r="P827" s="8">
        <v>2500000</v>
      </c>
    </row>
    <row r="828" spans="3:19" x14ac:dyDescent="0.25">
      <c r="D828" s="3" t="s">
        <v>653</v>
      </c>
      <c r="H828" s="8">
        <v>147933.82</v>
      </c>
      <c r="J828" s="8">
        <v>147933.82</v>
      </c>
      <c r="L828" s="8">
        <v>129172.96</v>
      </c>
      <c r="N828" s="8">
        <v>0</v>
      </c>
      <c r="P828" s="8">
        <v>18760.86</v>
      </c>
    </row>
    <row r="829" spans="3:19" x14ac:dyDescent="0.25">
      <c r="D829" s="3" t="s">
        <v>654</v>
      </c>
      <c r="H829" s="8">
        <v>231546.6</v>
      </c>
      <c r="J829" s="8">
        <v>231546.6</v>
      </c>
      <c r="L829" s="8">
        <v>196904.38</v>
      </c>
      <c r="N829" s="8">
        <v>0</v>
      </c>
      <c r="P829" s="8">
        <v>34642.22</v>
      </c>
    </row>
    <row r="830" spans="3:19" x14ac:dyDescent="0.25">
      <c r="D830" s="3" t="s">
        <v>655</v>
      </c>
      <c r="H830" s="8">
        <v>149098.67000000001</v>
      </c>
      <c r="J830" s="8">
        <v>149098.67000000001</v>
      </c>
      <c r="L830" s="8">
        <v>108510.09</v>
      </c>
      <c r="N830" s="8">
        <v>0</v>
      </c>
      <c r="P830" s="8">
        <v>40588.58</v>
      </c>
    </row>
    <row r="831" spans="3:19" x14ac:dyDescent="0.25">
      <c r="D831" s="3" t="s">
        <v>656</v>
      </c>
      <c r="H831" s="8">
        <v>249273.02</v>
      </c>
      <c r="J831" s="8">
        <v>249273.02</v>
      </c>
      <c r="L831" s="8">
        <v>137923.78</v>
      </c>
      <c r="N831" s="8">
        <v>0</v>
      </c>
      <c r="P831" s="8">
        <v>111349.24</v>
      </c>
    </row>
    <row r="832" spans="3:19" x14ac:dyDescent="0.25">
      <c r="D832" s="3" t="s">
        <v>657</v>
      </c>
      <c r="H832" s="8">
        <v>221137.31</v>
      </c>
      <c r="J832" s="8">
        <v>221137.31</v>
      </c>
      <c r="L832" s="8">
        <v>152720.76999999999</v>
      </c>
      <c r="N832" s="8">
        <v>0</v>
      </c>
      <c r="P832" s="8">
        <v>68416.539999999994</v>
      </c>
    </row>
    <row r="833" spans="2:16" x14ac:dyDescent="0.25">
      <c r="D833" s="3" t="s">
        <v>658</v>
      </c>
      <c r="H833" s="8">
        <v>98784.86</v>
      </c>
      <c r="J833" s="8">
        <v>98784.86</v>
      </c>
      <c r="L833" s="8">
        <v>56749.5</v>
      </c>
      <c r="N833" s="8">
        <v>0</v>
      </c>
      <c r="P833" s="8">
        <v>42035.360000000001</v>
      </c>
    </row>
    <row r="834" spans="2:16" x14ac:dyDescent="0.25">
      <c r="D834" s="3" t="s">
        <v>659</v>
      </c>
      <c r="H834" s="8">
        <v>118685.62</v>
      </c>
      <c r="J834" s="8">
        <v>118685.62</v>
      </c>
      <c r="L834" s="8">
        <v>105235.35</v>
      </c>
      <c r="N834" s="8">
        <v>0</v>
      </c>
      <c r="P834" s="8">
        <v>13450.27</v>
      </c>
    </row>
    <row r="835" spans="2:16" x14ac:dyDescent="0.25">
      <c r="D835" s="3" t="s">
        <v>289</v>
      </c>
      <c r="H835" s="8">
        <v>8355000</v>
      </c>
      <c r="J835" s="8">
        <v>8355000</v>
      </c>
      <c r="L835" s="8">
        <v>8183566.8600000003</v>
      </c>
      <c r="N835" s="8">
        <v>0</v>
      </c>
      <c r="P835" s="8">
        <v>171433.14</v>
      </c>
    </row>
    <row r="836" spans="2:16" x14ac:dyDescent="0.25">
      <c r="D836" s="3" t="s">
        <v>290</v>
      </c>
      <c r="H836" s="8">
        <v>700000</v>
      </c>
      <c r="J836" s="8">
        <v>700000</v>
      </c>
      <c r="L836" s="8">
        <v>0</v>
      </c>
      <c r="N836" s="8">
        <v>0</v>
      </c>
      <c r="P836" s="8">
        <v>700000</v>
      </c>
    </row>
    <row r="837" spans="2:16" x14ac:dyDescent="0.25">
      <c r="D837" s="3" t="s">
        <v>660</v>
      </c>
      <c r="H837" s="8">
        <v>500000</v>
      </c>
      <c r="J837" s="8">
        <v>0</v>
      </c>
      <c r="L837" s="8">
        <v>0</v>
      </c>
      <c r="N837" s="8">
        <v>500000</v>
      </c>
      <c r="P837" s="8">
        <v>0</v>
      </c>
    </row>
    <row r="838" spans="2:16" x14ac:dyDescent="0.25">
      <c r="C838" s="11" t="s">
        <v>291</v>
      </c>
    </row>
    <row r="839" spans="2:16" x14ac:dyDescent="0.25">
      <c r="D839" s="3" t="s">
        <v>661</v>
      </c>
      <c r="F839" s="7">
        <v>10703040</v>
      </c>
      <c r="H839" s="8">
        <v>5000000</v>
      </c>
      <c r="J839" s="8">
        <v>5000000</v>
      </c>
      <c r="L839" s="8">
        <v>4992456</v>
      </c>
      <c r="N839" s="8">
        <v>0</v>
      </c>
      <c r="P839" s="8">
        <v>7544</v>
      </c>
    </row>
    <row r="841" spans="2:16" x14ac:dyDescent="0.25">
      <c r="C841" s="11" t="s">
        <v>292</v>
      </c>
      <c r="H841" s="17">
        <f>+H811+H773</f>
        <v>107039459.90000001</v>
      </c>
      <c r="J841" s="17">
        <f>+J811+J773</f>
        <v>106539459.90000001</v>
      </c>
      <c r="L841" s="17">
        <f>+L811+L773</f>
        <v>90843204.730000004</v>
      </c>
      <c r="N841" s="17">
        <f>+N811+N773</f>
        <v>500000</v>
      </c>
      <c r="P841" s="17">
        <f>+P811+P773</f>
        <v>15696255.17</v>
      </c>
    </row>
    <row r="843" spans="2:16" x14ac:dyDescent="0.25">
      <c r="B843" s="11" t="s">
        <v>293</v>
      </c>
      <c r="F843" s="89" t="s">
        <v>294</v>
      </c>
      <c r="H843" s="17">
        <f>SUM(H844:H846)</f>
        <v>454070974.41999996</v>
      </c>
      <c r="J843" s="17">
        <f>SUM(J844:J846)</f>
        <v>454070974.41999996</v>
      </c>
      <c r="L843" s="17">
        <f>SUM(L844:L846)</f>
        <v>439533703.47000003</v>
      </c>
      <c r="N843" s="17">
        <f>SUM(N844:N846)</f>
        <v>0</v>
      </c>
      <c r="P843" s="17">
        <f>SUM(P844:P846)</f>
        <v>14537270.949999999</v>
      </c>
    </row>
    <row r="844" spans="2:16" x14ac:dyDescent="0.25">
      <c r="C844" s="3" t="s">
        <v>7</v>
      </c>
      <c r="H844" s="8">
        <f>+H849+H969+H1004+H1042+H1081+H1125</f>
        <v>159487634.90000001</v>
      </c>
      <c r="J844" s="8">
        <f>+J849+J969+J1004+J1042+J1081+J1125</f>
        <v>159487634.90000001</v>
      </c>
      <c r="L844" s="8">
        <f>+L849+L969+L1004+L1042+L1081+L1125</f>
        <v>155563135.94</v>
      </c>
      <c r="N844" s="8">
        <f>+N849+N969+N1004+N1042+N1081+N1125</f>
        <v>0</v>
      </c>
      <c r="P844" s="8">
        <f>+P849+P969+P1004+P1042+P1081+P1125</f>
        <v>3924498.96</v>
      </c>
    </row>
    <row r="845" spans="2:16" x14ac:dyDescent="0.25">
      <c r="C845" s="3" t="s">
        <v>17</v>
      </c>
      <c r="H845" s="8">
        <f>+H866+H984+H1022+H1061+H1100+H1142</f>
        <v>293879335.51999998</v>
      </c>
      <c r="J845" s="8">
        <f>+J866+J984+J1022+J1061+J1100+J1142</f>
        <v>293879335.51999998</v>
      </c>
      <c r="L845" s="8">
        <f>+L866+L984+L1022+L1061+L1100+L1142</f>
        <v>283970567.53000003</v>
      </c>
      <c r="N845" s="8">
        <f>+N866+N984+N1022+N1061+N1100+N1142</f>
        <v>0</v>
      </c>
      <c r="P845" s="8">
        <f>+P866+P984+P1022+P1061+P1100+P1142</f>
        <v>9908767.9900000002</v>
      </c>
    </row>
    <row r="846" spans="2:16" x14ac:dyDescent="0.25">
      <c r="C846" s="3" t="s">
        <v>52</v>
      </c>
      <c r="H846" s="8">
        <f>+H999+H1120</f>
        <v>704004</v>
      </c>
      <c r="J846" s="8">
        <f>+J999+J1120</f>
        <v>704004</v>
      </c>
      <c r="L846" s="8">
        <f>+L999+L1120</f>
        <v>0</v>
      </c>
      <c r="N846" s="8">
        <f>+N999+N1120</f>
        <v>0</v>
      </c>
      <c r="P846" s="8">
        <f>+P999+P1120</f>
        <v>704004</v>
      </c>
    </row>
    <row r="848" spans="2:16" x14ac:dyDescent="0.25">
      <c r="B848" s="11" t="s">
        <v>295</v>
      </c>
      <c r="F848" s="7" t="s">
        <v>296</v>
      </c>
    </row>
    <row r="849" spans="2:16" x14ac:dyDescent="0.25">
      <c r="B849" s="11" t="s">
        <v>160</v>
      </c>
      <c r="F849" s="7">
        <v>100</v>
      </c>
      <c r="H849" s="17">
        <f>SUM(H850:H865)</f>
        <v>16749196.080000002</v>
      </c>
      <c r="J849" s="17">
        <f>SUM(J850:J865)</f>
        <v>16749196.080000002</v>
      </c>
      <c r="L849" s="17">
        <f>SUM(L850:L865)</f>
        <v>16748625.629999999</v>
      </c>
      <c r="N849" s="17">
        <f>SUM(N850:N865)</f>
        <v>0</v>
      </c>
      <c r="P849" s="17">
        <f>SUM(P850:P865)</f>
        <v>570.45000000000005</v>
      </c>
    </row>
    <row r="850" spans="2:16" x14ac:dyDescent="0.25">
      <c r="D850" s="3" t="s">
        <v>8</v>
      </c>
      <c r="F850" s="7">
        <v>50101010</v>
      </c>
      <c r="H850" s="8">
        <v>10215200.18</v>
      </c>
      <c r="J850" s="8">
        <v>10215200.18</v>
      </c>
      <c r="L850" s="8">
        <v>10215200.18</v>
      </c>
      <c r="N850" s="8">
        <v>0</v>
      </c>
      <c r="P850" s="8">
        <v>0</v>
      </c>
    </row>
    <row r="851" spans="2:16" x14ac:dyDescent="0.25">
      <c r="D851" s="3" t="s">
        <v>162</v>
      </c>
      <c r="F851" s="7">
        <v>50102010</v>
      </c>
      <c r="H851" s="8">
        <v>618139.39</v>
      </c>
      <c r="J851" s="8">
        <v>618139.39</v>
      </c>
      <c r="L851" s="8">
        <v>618139.39</v>
      </c>
      <c r="N851" s="8">
        <v>0</v>
      </c>
      <c r="P851" s="8">
        <v>0</v>
      </c>
    </row>
    <row r="852" spans="2:16" x14ac:dyDescent="0.25">
      <c r="D852" s="3" t="s">
        <v>776</v>
      </c>
      <c r="F852" s="7">
        <v>50102020</v>
      </c>
      <c r="H852" s="8">
        <v>102000</v>
      </c>
      <c r="J852" s="8">
        <v>102000</v>
      </c>
      <c r="L852" s="8">
        <v>102000</v>
      </c>
      <c r="N852" s="8">
        <v>0</v>
      </c>
      <c r="P852" s="8">
        <v>0</v>
      </c>
    </row>
    <row r="853" spans="2:16" x14ac:dyDescent="0.25">
      <c r="D853" s="3" t="s">
        <v>60</v>
      </c>
      <c r="F853" s="7">
        <v>50102030</v>
      </c>
      <c r="H853" s="8">
        <v>31875</v>
      </c>
      <c r="J853" s="8">
        <v>31875</v>
      </c>
      <c r="L853" s="8">
        <v>31875</v>
      </c>
      <c r="N853" s="8">
        <v>0</v>
      </c>
      <c r="P853" s="8">
        <v>0</v>
      </c>
    </row>
    <row r="854" spans="2:16" x14ac:dyDescent="0.25">
      <c r="D854" s="3" t="s">
        <v>11</v>
      </c>
      <c r="F854" s="7">
        <v>50102040</v>
      </c>
      <c r="H854" s="8">
        <v>131000</v>
      </c>
      <c r="J854" s="8">
        <v>131000</v>
      </c>
      <c r="L854" s="8">
        <v>131000</v>
      </c>
      <c r="N854" s="8">
        <v>0</v>
      </c>
      <c r="P854" s="8">
        <v>0</v>
      </c>
    </row>
    <row r="855" spans="2:16" x14ac:dyDescent="0.25">
      <c r="D855" s="3" t="s">
        <v>88</v>
      </c>
      <c r="F855" s="7">
        <v>50102050</v>
      </c>
      <c r="H855" s="8">
        <v>244750</v>
      </c>
      <c r="J855" s="8">
        <v>244750</v>
      </c>
      <c r="L855" s="8">
        <v>244200</v>
      </c>
      <c r="N855" s="8">
        <v>0</v>
      </c>
      <c r="P855" s="8">
        <v>550</v>
      </c>
    </row>
    <row r="856" spans="2:16" x14ac:dyDescent="0.25">
      <c r="D856" s="3" t="s">
        <v>89</v>
      </c>
      <c r="F856" s="7">
        <v>50102060</v>
      </c>
      <c r="H856" s="8">
        <v>30477.74</v>
      </c>
      <c r="J856" s="8">
        <v>30477.74</v>
      </c>
      <c r="L856" s="8">
        <v>30457.29</v>
      </c>
      <c r="N856" s="8">
        <v>0</v>
      </c>
      <c r="P856" s="8">
        <v>20.45</v>
      </c>
    </row>
    <row r="857" spans="2:16" x14ac:dyDescent="0.25">
      <c r="D857" s="3" t="s">
        <v>90</v>
      </c>
      <c r="F857" s="7">
        <v>50102110</v>
      </c>
      <c r="H857" s="8">
        <v>1980251.06</v>
      </c>
      <c r="J857" s="8">
        <v>1980251.06</v>
      </c>
      <c r="L857" s="8">
        <v>1980251.06</v>
      </c>
      <c r="N857" s="8">
        <v>0</v>
      </c>
      <c r="P857" s="8">
        <v>0</v>
      </c>
    </row>
    <row r="858" spans="2:16" x14ac:dyDescent="0.25">
      <c r="D858" s="3" t="s">
        <v>61</v>
      </c>
      <c r="F858" s="7">
        <v>50102120</v>
      </c>
      <c r="H858" s="8">
        <v>20000</v>
      </c>
      <c r="J858" s="8">
        <v>20000</v>
      </c>
      <c r="L858" s="8">
        <v>20000</v>
      </c>
      <c r="N858" s="8">
        <v>0</v>
      </c>
      <c r="P858" s="8">
        <v>0</v>
      </c>
    </row>
    <row r="859" spans="2:16" x14ac:dyDescent="0.25">
      <c r="D859" s="3" t="s">
        <v>12</v>
      </c>
      <c r="F859" s="7">
        <v>50102140</v>
      </c>
      <c r="H859" s="8">
        <v>1694387</v>
      </c>
      <c r="J859" s="8">
        <v>1694387</v>
      </c>
      <c r="L859" s="8">
        <v>1694387</v>
      </c>
      <c r="N859" s="8">
        <v>0</v>
      </c>
      <c r="P859" s="8">
        <v>0</v>
      </c>
    </row>
    <row r="860" spans="2:16" x14ac:dyDescent="0.25">
      <c r="D860" s="3" t="s">
        <v>13</v>
      </c>
      <c r="F860" s="7">
        <v>50102150</v>
      </c>
      <c r="H860" s="8">
        <v>130000</v>
      </c>
      <c r="J860" s="8">
        <v>130000</v>
      </c>
      <c r="L860" s="8">
        <v>130000</v>
      </c>
      <c r="N860" s="8">
        <v>0</v>
      </c>
      <c r="P860" s="8">
        <v>0</v>
      </c>
    </row>
    <row r="861" spans="2:16" x14ac:dyDescent="0.25">
      <c r="D861" s="3" t="s">
        <v>164</v>
      </c>
      <c r="F861" s="7">
        <v>50103010</v>
      </c>
      <c r="H861" s="8">
        <v>1239690.71</v>
      </c>
      <c r="J861" s="8">
        <v>1239690.71</v>
      </c>
      <c r="L861" s="8">
        <v>1239690.71</v>
      </c>
      <c r="N861" s="8">
        <v>0</v>
      </c>
      <c r="P861" s="8">
        <v>0</v>
      </c>
    </row>
    <row r="862" spans="2:16" x14ac:dyDescent="0.25">
      <c r="D862" s="3" t="s">
        <v>14</v>
      </c>
      <c r="F862" s="7">
        <v>50103020</v>
      </c>
      <c r="H862" s="8">
        <v>31100</v>
      </c>
      <c r="J862" s="8">
        <v>31100</v>
      </c>
      <c r="L862" s="8">
        <v>31100</v>
      </c>
      <c r="N862" s="8">
        <v>0</v>
      </c>
      <c r="P862" s="8">
        <v>0</v>
      </c>
    </row>
    <row r="863" spans="2:16" x14ac:dyDescent="0.25">
      <c r="D863" s="3" t="s">
        <v>15</v>
      </c>
      <c r="F863" s="7">
        <v>50103030</v>
      </c>
      <c r="H863" s="8">
        <v>119225</v>
      </c>
      <c r="J863" s="8">
        <v>119225</v>
      </c>
      <c r="L863" s="8">
        <v>119225</v>
      </c>
      <c r="N863" s="8">
        <v>0</v>
      </c>
      <c r="P863" s="8">
        <v>0</v>
      </c>
    </row>
    <row r="864" spans="2:16" x14ac:dyDescent="0.25">
      <c r="D864" s="3" t="s">
        <v>165</v>
      </c>
      <c r="F864" s="7">
        <v>50103040</v>
      </c>
      <c r="H864" s="8">
        <v>31100</v>
      </c>
      <c r="J864" s="8">
        <v>31100</v>
      </c>
      <c r="L864" s="8">
        <v>31100</v>
      </c>
      <c r="N864" s="8">
        <v>0</v>
      </c>
      <c r="P864" s="8">
        <v>0</v>
      </c>
    </row>
    <row r="865" spans="2:16" x14ac:dyDescent="0.25">
      <c r="D865" s="3" t="s">
        <v>16</v>
      </c>
      <c r="F865" s="7">
        <v>50104990</v>
      </c>
      <c r="H865" s="8">
        <v>130000</v>
      </c>
      <c r="J865" s="8">
        <v>130000</v>
      </c>
      <c r="L865" s="8">
        <v>130000</v>
      </c>
      <c r="N865" s="8">
        <v>0</v>
      </c>
      <c r="P865" s="8">
        <v>0</v>
      </c>
    </row>
    <row r="866" spans="2:16" x14ac:dyDescent="0.25">
      <c r="B866" s="11" t="s">
        <v>166</v>
      </c>
      <c r="F866" s="7">
        <v>200</v>
      </c>
      <c r="H866" s="17">
        <f>SUM(H867:H869,H871,H881,H890,H900,H911,H918,H924,H934,H943,H953)</f>
        <v>29641997.52</v>
      </c>
      <c r="J866" s="17">
        <f>SUM(J867:J869,J871,J881,J890,J900,J911,J918,J924,J934,J943,J953)</f>
        <v>29641997.52</v>
      </c>
      <c r="L866" s="17">
        <f>SUM(L867:L869,L871,L881,L890,L900,L911,L918,L924,L934,L943,L953)</f>
        <v>29636207.620000001</v>
      </c>
      <c r="N866" s="17">
        <f>SUM(N867:N869,N871,N881,N890,N900,N911,N918,N924,N934,N943,N953)</f>
        <v>0</v>
      </c>
      <c r="P866" s="17">
        <f>SUM(P867:P869,P871,P881,P890,P900,P911,P918,P924,P934,P943,P953)</f>
        <v>5789.9000000000233</v>
      </c>
    </row>
    <row r="867" spans="2:16" x14ac:dyDescent="0.25">
      <c r="D867" s="3" t="s">
        <v>21</v>
      </c>
      <c r="F867" s="7">
        <v>50204010</v>
      </c>
      <c r="H867" s="8">
        <v>20000</v>
      </c>
      <c r="J867" s="8">
        <v>20000</v>
      </c>
      <c r="L867" s="8">
        <v>14652</v>
      </c>
      <c r="N867" s="8">
        <v>0</v>
      </c>
      <c r="P867" s="8">
        <v>5348</v>
      </c>
    </row>
    <row r="868" spans="2:16" x14ac:dyDescent="0.25">
      <c r="D868" s="3" t="s">
        <v>22</v>
      </c>
      <c r="F868" s="7">
        <v>50205020</v>
      </c>
      <c r="H868" s="8">
        <v>84000</v>
      </c>
      <c r="J868" s="8">
        <v>84000</v>
      </c>
      <c r="L868" s="8">
        <v>84000</v>
      </c>
      <c r="N868" s="8">
        <v>0</v>
      </c>
      <c r="P868" s="8">
        <v>0</v>
      </c>
    </row>
    <row r="869" spans="2:16" x14ac:dyDescent="0.25">
      <c r="D869" s="3" t="s">
        <v>91</v>
      </c>
      <c r="F869" s="7">
        <v>50299020</v>
      </c>
      <c r="H869" s="8">
        <v>792.5</v>
      </c>
      <c r="J869" s="8">
        <v>792.5</v>
      </c>
      <c r="L869" s="8">
        <v>792.5</v>
      </c>
      <c r="N869" s="8">
        <v>0</v>
      </c>
      <c r="P869" s="8">
        <v>0</v>
      </c>
    </row>
    <row r="870" spans="2:16" x14ac:dyDescent="0.25">
      <c r="C870" s="11" t="s">
        <v>177</v>
      </c>
    </row>
    <row r="871" spans="2:16" x14ac:dyDescent="0.25">
      <c r="C871" s="11" t="s">
        <v>797</v>
      </c>
      <c r="H871" s="17">
        <f>SUM(H872:H879)</f>
        <v>763920</v>
      </c>
      <c r="J871" s="17">
        <f>SUM(J872:J879)</f>
        <v>763920</v>
      </c>
      <c r="L871" s="17">
        <f>SUM(L872:L879)</f>
        <v>763920</v>
      </c>
      <c r="N871" s="17">
        <f>SUM(N872:N879)</f>
        <v>0</v>
      </c>
      <c r="P871" s="17">
        <f>SUM(P872:P879)</f>
        <v>0</v>
      </c>
    </row>
    <row r="872" spans="2:16" x14ac:dyDescent="0.25">
      <c r="D872" s="3" t="s">
        <v>760</v>
      </c>
      <c r="F872" s="7">
        <v>50201010</v>
      </c>
      <c r="H872" s="8">
        <v>9800</v>
      </c>
      <c r="J872" s="8">
        <v>9800</v>
      </c>
      <c r="L872" s="8">
        <v>9800</v>
      </c>
      <c r="N872" s="8">
        <v>0</v>
      </c>
      <c r="P872" s="8">
        <v>0</v>
      </c>
    </row>
    <row r="873" spans="2:16" x14ac:dyDescent="0.25">
      <c r="D873" s="3" t="s">
        <v>19</v>
      </c>
      <c r="F873" s="7">
        <v>50202010</v>
      </c>
      <c r="H873" s="8">
        <v>19680</v>
      </c>
      <c r="J873" s="8">
        <v>19680</v>
      </c>
      <c r="L873" s="8">
        <v>19680</v>
      </c>
      <c r="N873" s="8">
        <v>0</v>
      </c>
      <c r="P873" s="8">
        <v>0</v>
      </c>
    </row>
    <row r="874" spans="2:16" x14ac:dyDescent="0.25">
      <c r="D874" s="3" t="s">
        <v>36</v>
      </c>
      <c r="F874" s="7">
        <v>50203010</v>
      </c>
      <c r="H874" s="8">
        <v>49615</v>
      </c>
      <c r="J874" s="8">
        <v>49615</v>
      </c>
      <c r="L874" s="8">
        <v>49615</v>
      </c>
      <c r="N874" s="8">
        <v>0</v>
      </c>
      <c r="P874" s="8">
        <v>0</v>
      </c>
    </row>
    <row r="875" spans="2:16" x14ac:dyDescent="0.25">
      <c r="D875" s="3" t="s">
        <v>748</v>
      </c>
      <c r="F875" s="7">
        <v>50203990</v>
      </c>
      <c r="H875" s="8">
        <v>221050</v>
      </c>
      <c r="J875" s="8">
        <v>221050</v>
      </c>
      <c r="L875" s="8">
        <v>221050</v>
      </c>
      <c r="N875" s="8">
        <v>0</v>
      </c>
      <c r="P875" s="8">
        <v>0</v>
      </c>
    </row>
    <row r="876" spans="2:16" x14ac:dyDescent="0.25">
      <c r="D876" s="3" t="s">
        <v>40</v>
      </c>
      <c r="F876" s="7">
        <v>50206020</v>
      </c>
      <c r="H876" s="8">
        <v>109800</v>
      </c>
      <c r="J876" s="8">
        <v>109800</v>
      </c>
      <c r="L876" s="8">
        <v>109800</v>
      </c>
      <c r="N876" s="8">
        <v>0</v>
      </c>
      <c r="P876" s="8">
        <v>0</v>
      </c>
    </row>
    <row r="877" spans="2:16" x14ac:dyDescent="0.25">
      <c r="D877" s="3" t="s">
        <v>25</v>
      </c>
      <c r="F877" s="7">
        <v>50211990</v>
      </c>
      <c r="H877" s="8">
        <v>184000</v>
      </c>
      <c r="J877" s="8">
        <v>184000</v>
      </c>
      <c r="L877" s="8">
        <v>184000</v>
      </c>
      <c r="N877" s="8">
        <v>0</v>
      </c>
      <c r="P877" s="8">
        <v>0</v>
      </c>
    </row>
    <row r="878" spans="2:16" x14ac:dyDescent="0.25">
      <c r="D878" s="3" t="s">
        <v>73</v>
      </c>
      <c r="F878" s="7">
        <v>50216010</v>
      </c>
      <c r="H878" s="8">
        <v>10000</v>
      </c>
      <c r="J878" s="8">
        <v>10000</v>
      </c>
      <c r="L878" s="8">
        <v>10000</v>
      </c>
      <c r="N878" s="8">
        <v>0</v>
      </c>
      <c r="P878" s="8">
        <v>0</v>
      </c>
    </row>
    <row r="879" spans="2:16" x14ac:dyDescent="0.25">
      <c r="D879" s="3" t="s">
        <v>735</v>
      </c>
      <c r="F879" s="7">
        <v>50299030</v>
      </c>
      <c r="H879" s="8">
        <v>159975</v>
      </c>
      <c r="J879" s="8">
        <v>159975</v>
      </c>
      <c r="L879" s="8">
        <v>159975</v>
      </c>
      <c r="N879" s="8">
        <v>0</v>
      </c>
      <c r="P879" s="8">
        <v>0</v>
      </c>
    </row>
    <row r="880" spans="2:16" x14ac:dyDescent="0.25">
      <c r="C880" s="11" t="s">
        <v>798</v>
      </c>
      <c r="E880" s="11"/>
    </row>
    <row r="881" spans="3:16" x14ac:dyDescent="0.25">
      <c r="C881" s="11" t="s">
        <v>799</v>
      </c>
      <c r="E881" s="11"/>
      <c r="H881" s="17">
        <f>SUM(H882:H889)</f>
        <v>1048510.47</v>
      </c>
      <c r="J881" s="17">
        <f>SUM(J882:J889)</f>
        <v>1048510.47</v>
      </c>
      <c r="L881" s="17">
        <f>SUM(L882:L889)</f>
        <v>1048510.47</v>
      </c>
      <c r="N881" s="17">
        <f>SUM(N882:N889)</f>
        <v>0</v>
      </c>
      <c r="P881" s="17">
        <f>SUM(P882:P889)</f>
        <v>0</v>
      </c>
    </row>
    <row r="882" spans="3:16" x14ac:dyDescent="0.25">
      <c r="D882" s="3" t="s">
        <v>760</v>
      </c>
      <c r="F882" s="7">
        <v>50201010</v>
      </c>
      <c r="H882" s="8">
        <v>8750</v>
      </c>
      <c r="J882" s="8">
        <v>8750</v>
      </c>
      <c r="L882" s="8">
        <v>8750</v>
      </c>
      <c r="N882" s="8">
        <v>0</v>
      </c>
      <c r="P882" s="8">
        <v>0</v>
      </c>
    </row>
    <row r="883" spans="3:16" x14ac:dyDescent="0.25">
      <c r="D883" s="3" t="s">
        <v>36</v>
      </c>
      <c r="F883" s="7">
        <v>50203010</v>
      </c>
      <c r="H883" s="8">
        <v>22993</v>
      </c>
      <c r="J883" s="8">
        <v>22993</v>
      </c>
      <c r="L883" s="8">
        <v>22993</v>
      </c>
      <c r="N883" s="8">
        <v>0</v>
      </c>
      <c r="P883" s="8">
        <v>0</v>
      </c>
    </row>
    <row r="884" spans="3:16" x14ac:dyDescent="0.25">
      <c r="D884" s="3" t="s">
        <v>93</v>
      </c>
      <c r="F884" s="7">
        <v>50203070</v>
      </c>
      <c r="H884" s="8">
        <v>199578.45</v>
      </c>
      <c r="J884" s="8">
        <v>199578.45</v>
      </c>
      <c r="L884" s="8">
        <v>199578.45</v>
      </c>
      <c r="N884" s="8">
        <v>0</v>
      </c>
      <c r="P884" s="8">
        <f>+J884-L884</f>
        <v>0</v>
      </c>
    </row>
    <row r="885" spans="3:16" x14ac:dyDescent="0.25">
      <c r="D885" s="3" t="s">
        <v>662</v>
      </c>
      <c r="F885" s="7">
        <v>50203080</v>
      </c>
      <c r="H885" s="8">
        <v>23948</v>
      </c>
      <c r="J885" s="8">
        <v>23948</v>
      </c>
      <c r="L885" s="8">
        <v>23948</v>
      </c>
      <c r="N885" s="8">
        <v>0</v>
      </c>
      <c r="P885" s="8">
        <f>+J885-L885</f>
        <v>0</v>
      </c>
    </row>
    <row r="886" spans="3:16" x14ac:dyDescent="0.25">
      <c r="D886" s="3" t="s">
        <v>37</v>
      </c>
      <c r="F886" s="7">
        <v>50203990</v>
      </c>
      <c r="H886" s="8">
        <v>94975</v>
      </c>
      <c r="J886" s="8">
        <v>94975</v>
      </c>
      <c r="L886" s="8">
        <v>94975</v>
      </c>
      <c r="N886" s="8">
        <v>0</v>
      </c>
      <c r="P886" s="8">
        <v>0</v>
      </c>
    </row>
    <row r="887" spans="3:16" x14ac:dyDescent="0.25">
      <c r="D887" s="3" t="s">
        <v>40</v>
      </c>
      <c r="F887" s="7">
        <v>50206020</v>
      </c>
      <c r="H887" s="8">
        <v>336500</v>
      </c>
      <c r="J887" s="8">
        <v>336500</v>
      </c>
      <c r="L887" s="8">
        <v>336500</v>
      </c>
      <c r="N887" s="8">
        <v>0</v>
      </c>
      <c r="P887" s="8">
        <v>0</v>
      </c>
    </row>
    <row r="888" spans="3:16" x14ac:dyDescent="0.25">
      <c r="D888" s="3" t="s">
        <v>25</v>
      </c>
      <c r="F888" s="7">
        <v>50211990</v>
      </c>
      <c r="H888" s="8">
        <v>61791.02</v>
      </c>
      <c r="J888" s="8">
        <v>61791.02</v>
      </c>
      <c r="L888" s="8">
        <v>61791.02</v>
      </c>
      <c r="N888" s="8">
        <v>0</v>
      </c>
      <c r="P888" s="8">
        <v>0</v>
      </c>
    </row>
    <row r="889" spans="3:16" x14ac:dyDescent="0.25">
      <c r="D889" s="3" t="s">
        <v>38</v>
      </c>
      <c r="F889" s="7">
        <v>50299030</v>
      </c>
      <c r="H889" s="8">
        <v>299975</v>
      </c>
      <c r="J889" s="8">
        <v>299975</v>
      </c>
      <c r="L889" s="8">
        <v>299975</v>
      </c>
      <c r="N889" s="8">
        <v>0</v>
      </c>
      <c r="P889" s="8">
        <v>0</v>
      </c>
    </row>
    <row r="890" spans="3:16" x14ac:dyDescent="0.25">
      <c r="C890" s="11" t="s">
        <v>92</v>
      </c>
      <c r="H890" s="17">
        <f>SUM(H891:H898)</f>
        <v>1467544.8</v>
      </c>
      <c r="J890" s="17">
        <f>SUM(J891:J898)</f>
        <v>1467544.8</v>
      </c>
      <c r="L890" s="17">
        <f>SUM(L891:L898)</f>
        <v>1467103.8</v>
      </c>
      <c r="N890" s="17">
        <f>SUM(N891:N898)</f>
        <v>0</v>
      </c>
      <c r="P890" s="17">
        <f>SUM(P891:P898)</f>
        <v>441</v>
      </c>
    </row>
    <row r="891" spans="3:16" x14ac:dyDescent="0.25">
      <c r="D891" s="3" t="s">
        <v>760</v>
      </c>
      <c r="F891" s="7">
        <v>50201010</v>
      </c>
      <c r="H891" s="8">
        <v>30000</v>
      </c>
      <c r="J891" s="8">
        <v>30000</v>
      </c>
      <c r="L891" s="8">
        <v>30000</v>
      </c>
      <c r="N891" s="8">
        <v>0</v>
      </c>
      <c r="P891" s="8">
        <v>0</v>
      </c>
    </row>
    <row r="892" spans="3:16" x14ac:dyDescent="0.25">
      <c r="D892" s="3" t="s">
        <v>19</v>
      </c>
      <c r="F892" s="7">
        <v>50202010</v>
      </c>
      <c r="H892" s="8">
        <v>21921</v>
      </c>
      <c r="J892" s="8">
        <v>21921</v>
      </c>
      <c r="L892" s="8">
        <v>21921</v>
      </c>
      <c r="N892" s="8">
        <v>0</v>
      </c>
      <c r="P892" s="8">
        <v>0</v>
      </c>
    </row>
    <row r="893" spans="3:16" x14ac:dyDescent="0.25">
      <c r="D893" s="3" t="s">
        <v>36</v>
      </c>
      <c r="F893" s="7">
        <v>50203010</v>
      </c>
      <c r="H893" s="8">
        <v>27934</v>
      </c>
      <c r="J893" s="8">
        <v>27934</v>
      </c>
      <c r="L893" s="8">
        <v>27934</v>
      </c>
      <c r="N893" s="8">
        <v>0</v>
      </c>
      <c r="P893" s="8">
        <v>0</v>
      </c>
    </row>
    <row r="894" spans="3:16" x14ac:dyDescent="0.25">
      <c r="D894" s="3" t="s">
        <v>93</v>
      </c>
      <c r="F894" s="7">
        <v>50203070</v>
      </c>
      <c r="H894" s="8">
        <v>31558</v>
      </c>
      <c r="J894" s="8">
        <v>31558</v>
      </c>
      <c r="L894" s="8">
        <v>31556.799999999999</v>
      </c>
      <c r="N894" s="8">
        <v>0</v>
      </c>
      <c r="P894" s="8">
        <v>1.2</v>
      </c>
    </row>
    <row r="895" spans="3:16" x14ac:dyDescent="0.25">
      <c r="D895" s="3" t="s">
        <v>662</v>
      </c>
      <c r="F895" s="7">
        <v>50203080</v>
      </c>
      <c r="H895" s="8">
        <v>614680.80000000005</v>
      </c>
      <c r="J895" s="8">
        <v>614680.80000000005</v>
      </c>
      <c r="L895" s="8">
        <v>614241</v>
      </c>
      <c r="N895" s="8">
        <v>0</v>
      </c>
      <c r="P895" s="8">
        <v>439.8</v>
      </c>
    </row>
    <row r="896" spans="3:16" x14ac:dyDescent="0.25">
      <c r="D896" s="3" t="s">
        <v>37</v>
      </c>
      <c r="F896" s="7">
        <v>50203990</v>
      </c>
      <c r="H896" s="8">
        <v>28500</v>
      </c>
      <c r="J896" s="8">
        <v>28500</v>
      </c>
      <c r="L896" s="8">
        <v>28500</v>
      </c>
      <c r="N896" s="8">
        <v>0</v>
      </c>
      <c r="P896" s="8">
        <v>0</v>
      </c>
    </row>
    <row r="897" spans="3:16" x14ac:dyDescent="0.25">
      <c r="D897" s="3" t="s">
        <v>73</v>
      </c>
      <c r="F897" s="7">
        <v>50216010</v>
      </c>
      <c r="H897" s="8">
        <v>655281</v>
      </c>
      <c r="J897" s="8">
        <v>655281</v>
      </c>
      <c r="L897" s="8">
        <v>655281</v>
      </c>
      <c r="N897" s="8">
        <v>0</v>
      </c>
      <c r="P897" s="8">
        <v>0</v>
      </c>
    </row>
    <row r="898" spans="3:16" x14ac:dyDescent="0.25">
      <c r="D898" s="3" t="s">
        <v>38</v>
      </c>
      <c r="F898" s="7">
        <v>50299030</v>
      </c>
      <c r="H898" s="8">
        <v>57670</v>
      </c>
      <c r="J898" s="8">
        <v>57670</v>
      </c>
      <c r="L898" s="8">
        <v>57670</v>
      </c>
      <c r="N898" s="8">
        <v>0</v>
      </c>
      <c r="P898" s="8">
        <v>0</v>
      </c>
    </row>
    <row r="899" spans="3:16" x14ac:dyDescent="0.25">
      <c r="C899" s="11" t="s">
        <v>800</v>
      </c>
      <c r="H899" s="3"/>
      <c r="I899" s="3"/>
      <c r="J899" s="3"/>
      <c r="K899" s="3"/>
      <c r="L899" s="3"/>
      <c r="M899" s="3"/>
      <c r="N899" s="3"/>
      <c r="O899" s="3"/>
      <c r="P899" s="3"/>
    </row>
    <row r="900" spans="3:16" x14ac:dyDescent="0.25">
      <c r="C900" s="11" t="s">
        <v>801</v>
      </c>
      <c r="H900" s="17">
        <f>SUM(H901:H910)</f>
        <v>1049000</v>
      </c>
      <c r="J900" s="17">
        <f>SUM(J901:J910)</f>
        <v>1049000</v>
      </c>
      <c r="L900" s="17">
        <f>SUM(L901:L910)</f>
        <v>1049000</v>
      </c>
      <c r="N900" s="17">
        <f>SUM(N901:N910)</f>
        <v>0</v>
      </c>
      <c r="P900" s="17">
        <f>SUM(P901:P910)</f>
        <v>0</v>
      </c>
    </row>
    <row r="901" spans="3:16" x14ac:dyDescent="0.25">
      <c r="D901" s="3" t="s">
        <v>744</v>
      </c>
      <c r="F901" s="7">
        <v>50201010</v>
      </c>
      <c r="H901" s="8">
        <v>15221</v>
      </c>
      <c r="J901" s="8">
        <v>15221</v>
      </c>
      <c r="L901" s="8">
        <v>15221</v>
      </c>
      <c r="N901" s="8">
        <v>0</v>
      </c>
      <c r="P901" s="8">
        <v>0</v>
      </c>
    </row>
    <row r="902" spans="3:16" x14ac:dyDescent="0.25">
      <c r="D902" s="3" t="s">
        <v>19</v>
      </c>
      <c r="F902" s="7">
        <v>50202010</v>
      </c>
      <c r="H902" s="8">
        <v>140110</v>
      </c>
      <c r="J902" s="8">
        <v>140110</v>
      </c>
      <c r="L902" s="8">
        <v>140110</v>
      </c>
      <c r="N902" s="8">
        <v>0</v>
      </c>
      <c r="P902" s="8">
        <v>0</v>
      </c>
    </row>
    <row r="903" spans="3:16" x14ac:dyDescent="0.25">
      <c r="D903" s="3" t="s">
        <v>36</v>
      </c>
      <c r="F903" s="7">
        <v>50203010</v>
      </c>
      <c r="H903" s="8">
        <v>23999</v>
      </c>
      <c r="J903" s="8">
        <v>23999</v>
      </c>
      <c r="L903" s="8">
        <v>23999</v>
      </c>
      <c r="N903" s="8">
        <v>0</v>
      </c>
      <c r="P903" s="8">
        <v>0</v>
      </c>
    </row>
    <row r="904" spans="3:16" x14ac:dyDescent="0.25">
      <c r="D904" s="3" t="s">
        <v>93</v>
      </c>
      <c r="F904" s="7">
        <v>50203070</v>
      </c>
      <c r="H904" s="8">
        <v>386758</v>
      </c>
      <c r="J904" s="8">
        <v>386758</v>
      </c>
      <c r="L904" s="8">
        <v>386758</v>
      </c>
      <c r="N904" s="8">
        <v>0</v>
      </c>
      <c r="P904" s="8">
        <v>0</v>
      </c>
    </row>
    <row r="905" spans="3:16" x14ac:dyDescent="0.25">
      <c r="D905" s="3" t="s">
        <v>662</v>
      </c>
      <c r="F905" s="7">
        <v>50203080</v>
      </c>
      <c r="H905" s="8">
        <v>188942</v>
      </c>
      <c r="J905" s="8">
        <v>188942</v>
      </c>
      <c r="L905" s="8">
        <v>188942</v>
      </c>
      <c r="N905" s="8">
        <v>0</v>
      </c>
      <c r="P905" s="8">
        <v>0</v>
      </c>
    </row>
    <row r="906" spans="3:16" x14ac:dyDescent="0.25">
      <c r="D906" s="3" t="s">
        <v>99</v>
      </c>
      <c r="F906" s="7">
        <v>50203990</v>
      </c>
      <c r="H906" s="8">
        <v>19940</v>
      </c>
      <c r="J906" s="8">
        <v>19940</v>
      </c>
      <c r="L906" s="8">
        <v>19940</v>
      </c>
      <c r="N906" s="8">
        <v>0</v>
      </c>
      <c r="P906" s="8">
        <v>0</v>
      </c>
    </row>
    <row r="907" spans="3:16" x14ac:dyDescent="0.25">
      <c r="D907" s="3" t="s">
        <v>737</v>
      </c>
      <c r="F907" s="7">
        <v>50206020</v>
      </c>
      <c r="H907" s="8">
        <v>6500</v>
      </c>
      <c r="J907" s="8">
        <v>6500</v>
      </c>
      <c r="L907" s="8">
        <v>6500</v>
      </c>
      <c r="N907" s="8">
        <v>0</v>
      </c>
      <c r="P907" s="8">
        <v>0</v>
      </c>
    </row>
    <row r="908" spans="3:16" x14ac:dyDescent="0.25">
      <c r="D908" s="3" t="s">
        <v>73</v>
      </c>
      <c r="F908" s="7">
        <v>50216010</v>
      </c>
      <c r="H908" s="8">
        <v>15000</v>
      </c>
      <c r="J908" s="8">
        <v>15000</v>
      </c>
      <c r="L908" s="8">
        <v>15000</v>
      </c>
      <c r="N908" s="8">
        <v>0</v>
      </c>
      <c r="P908" s="8">
        <v>0</v>
      </c>
    </row>
    <row r="909" spans="3:16" x14ac:dyDescent="0.25">
      <c r="D909" s="3" t="s">
        <v>91</v>
      </c>
      <c r="F909" s="7">
        <v>50299020</v>
      </c>
      <c r="H909" s="8">
        <v>64280</v>
      </c>
      <c r="J909" s="8">
        <v>64280</v>
      </c>
      <c r="L909" s="8">
        <v>64280</v>
      </c>
      <c r="N909" s="8">
        <v>0</v>
      </c>
      <c r="P909" s="8">
        <v>0</v>
      </c>
    </row>
    <row r="910" spans="3:16" x14ac:dyDescent="0.25">
      <c r="D910" s="3" t="s">
        <v>735</v>
      </c>
      <c r="F910" s="7">
        <v>50299030</v>
      </c>
      <c r="H910" s="8">
        <v>188250</v>
      </c>
      <c r="J910" s="8">
        <v>188250</v>
      </c>
      <c r="L910" s="8">
        <v>188250</v>
      </c>
      <c r="N910" s="8">
        <v>0</v>
      </c>
      <c r="P910" s="8">
        <v>0</v>
      </c>
    </row>
    <row r="911" spans="3:16" x14ac:dyDescent="0.25">
      <c r="C911" s="11" t="s">
        <v>766</v>
      </c>
      <c r="H911" s="17">
        <f>SUM(H912:H917)</f>
        <v>4952268.55</v>
      </c>
      <c r="J911" s="17">
        <f>SUM(J912:J917)</f>
        <v>4952268.55</v>
      </c>
      <c r="L911" s="17">
        <f>SUM(L912:L917)</f>
        <v>4952268.55</v>
      </c>
      <c r="N911" s="17">
        <f>SUM(N912:N917)</f>
        <v>0</v>
      </c>
      <c r="P911" s="17">
        <f>SUM(P912:P917)</f>
        <v>0</v>
      </c>
    </row>
    <row r="912" spans="3:16" x14ac:dyDescent="0.25">
      <c r="D912" s="3" t="s">
        <v>760</v>
      </c>
      <c r="F912" s="7">
        <v>50201010</v>
      </c>
      <c r="H912" s="8">
        <v>40000</v>
      </c>
      <c r="J912" s="8">
        <v>40000</v>
      </c>
      <c r="L912" s="8">
        <v>40000</v>
      </c>
      <c r="N912" s="8">
        <v>0</v>
      </c>
      <c r="P912" s="8">
        <f>+J912-L912</f>
        <v>0</v>
      </c>
    </row>
    <row r="913" spans="3:16" x14ac:dyDescent="0.25">
      <c r="D913" s="3" t="s">
        <v>751</v>
      </c>
      <c r="F913" s="7">
        <v>50203010</v>
      </c>
      <c r="H913" s="8">
        <v>24190</v>
      </c>
      <c r="J913" s="8">
        <v>24190</v>
      </c>
      <c r="L913" s="8">
        <v>24190</v>
      </c>
      <c r="N913" s="8">
        <v>0</v>
      </c>
      <c r="P913" s="8">
        <f t="shared" ref="P913:P917" si="3">+J913-L913</f>
        <v>0</v>
      </c>
    </row>
    <row r="914" spans="3:16" x14ac:dyDescent="0.25">
      <c r="D914" s="3" t="s">
        <v>93</v>
      </c>
      <c r="F914" s="7">
        <v>50203070</v>
      </c>
      <c r="H914" s="8">
        <v>3614559.55</v>
      </c>
      <c r="J914" s="8">
        <v>3614559.55</v>
      </c>
      <c r="L914" s="8">
        <v>3614559.55</v>
      </c>
      <c r="N914" s="8">
        <v>0</v>
      </c>
      <c r="P914" s="8">
        <f t="shared" si="3"/>
        <v>0</v>
      </c>
    </row>
    <row r="915" spans="3:16" x14ac:dyDescent="0.25">
      <c r="D915" s="3" t="s">
        <v>662</v>
      </c>
      <c r="F915" s="7">
        <v>50203080</v>
      </c>
      <c r="H915" s="8">
        <v>938619</v>
      </c>
      <c r="J915" s="8">
        <v>938619</v>
      </c>
      <c r="L915" s="8">
        <v>938619</v>
      </c>
      <c r="N915" s="8">
        <v>0</v>
      </c>
      <c r="P915" s="8">
        <f t="shared" si="3"/>
        <v>0</v>
      </c>
    </row>
    <row r="916" spans="3:16" x14ac:dyDescent="0.25">
      <c r="D916" s="3" t="s">
        <v>73</v>
      </c>
      <c r="F916" s="7">
        <v>50216010</v>
      </c>
      <c r="H916" s="8">
        <v>184900</v>
      </c>
      <c r="J916" s="8">
        <v>184900</v>
      </c>
      <c r="L916" s="8">
        <v>184900</v>
      </c>
      <c r="N916" s="8">
        <v>0</v>
      </c>
      <c r="P916" s="8">
        <f t="shared" si="3"/>
        <v>0</v>
      </c>
    </row>
    <row r="917" spans="3:16" x14ac:dyDescent="0.25">
      <c r="D917" s="3" t="s">
        <v>735</v>
      </c>
      <c r="F917" s="7">
        <v>50299030</v>
      </c>
      <c r="H917" s="8">
        <v>150000</v>
      </c>
      <c r="J917" s="8">
        <v>150000</v>
      </c>
      <c r="L917" s="8">
        <v>150000</v>
      </c>
      <c r="N917" s="8">
        <v>0</v>
      </c>
      <c r="P917" s="8">
        <f t="shared" si="3"/>
        <v>0</v>
      </c>
    </row>
    <row r="918" spans="3:16" x14ac:dyDescent="0.25">
      <c r="C918" s="11" t="s">
        <v>767</v>
      </c>
      <c r="H918" s="17">
        <f>SUM(H919:H923)</f>
        <v>462141</v>
      </c>
      <c r="J918" s="17">
        <f>SUM(J919:J923)</f>
        <v>462141</v>
      </c>
      <c r="L918" s="17">
        <f>SUM(L919:L923)</f>
        <v>462141</v>
      </c>
      <c r="N918" s="17">
        <f>SUM(N919:N923)</f>
        <v>0</v>
      </c>
      <c r="P918" s="17">
        <f>SUM(P919:P923)</f>
        <v>0</v>
      </c>
    </row>
    <row r="919" spans="3:16" x14ac:dyDescent="0.25">
      <c r="D919" s="3" t="s">
        <v>764</v>
      </c>
      <c r="F919" s="7">
        <v>50201010</v>
      </c>
      <c r="H919" s="8">
        <v>19346</v>
      </c>
      <c r="J919" s="8">
        <v>19346</v>
      </c>
      <c r="L919" s="8">
        <v>19346</v>
      </c>
      <c r="N919" s="8">
        <v>0</v>
      </c>
      <c r="P919" s="8">
        <v>0</v>
      </c>
    </row>
    <row r="920" spans="3:16" x14ac:dyDescent="0.25">
      <c r="D920" s="3" t="s">
        <v>19</v>
      </c>
      <c r="F920" s="7">
        <v>50202010</v>
      </c>
      <c r="H920" s="8">
        <v>99690</v>
      </c>
      <c r="J920" s="8">
        <v>99690</v>
      </c>
      <c r="L920" s="8">
        <v>99690</v>
      </c>
      <c r="N920" s="8">
        <v>0</v>
      </c>
      <c r="P920" s="8">
        <v>0</v>
      </c>
    </row>
    <row r="921" spans="3:16" x14ac:dyDescent="0.25">
      <c r="D921" s="3" t="s">
        <v>751</v>
      </c>
      <c r="F921" s="7">
        <v>50203010</v>
      </c>
      <c r="H921" s="8">
        <v>29930</v>
      </c>
      <c r="J921" s="8">
        <v>29930</v>
      </c>
      <c r="L921" s="8">
        <v>29930</v>
      </c>
      <c r="N921" s="8">
        <v>0</v>
      </c>
      <c r="P921" s="8">
        <v>0</v>
      </c>
    </row>
    <row r="922" spans="3:16" x14ac:dyDescent="0.25">
      <c r="D922" s="3" t="s">
        <v>99</v>
      </c>
      <c r="F922" s="7">
        <v>50203990</v>
      </c>
      <c r="H922" s="8">
        <v>10000</v>
      </c>
      <c r="J922" s="8">
        <v>10000</v>
      </c>
      <c r="L922" s="8">
        <v>10000</v>
      </c>
      <c r="N922" s="8">
        <v>0</v>
      </c>
      <c r="P922" s="8">
        <v>0</v>
      </c>
    </row>
    <row r="923" spans="3:16" x14ac:dyDescent="0.25">
      <c r="D923" s="3" t="s">
        <v>735</v>
      </c>
      <c r="F923" s="7">
        <v>50299030</v>
      </c>
      <c r="H923" s="8">
        <v>303175</v>
      </c>
      <c r="J923" s="8">
        <v>303175</v>
      </c>
      <c r="L923" s="8">
        <v>303175</v>
      </c>
      <c r="N923" s="8">
        <v>0</v>
      </c>
      <c r="P923" s="8">
        <v>0</v>
      </c>
    </row>
    <row r="924" spans="3:16" x14ac:dyDescent="0.25">
      <c r="C924" s="11" t="s">
        <v>768</v>
      </c>
      <c r="H924" s="17">
        <f>SUM(H926:H933)</f>
        <v>12682315.699999999</v>
      </c>
      <c r="J924" s="17">
        <f>SUM(J926:J933)</f>
        <v>12682315.699999999</v>
      </c>
      <c r="L924" s="17">
        <f>SUM(L926:L933)</f>
        <v>12682315.699999999</v>
      </c>
      <c r="N924" s="17">
        <f>SUM(N926:N933)</f>
        <v>0</v>
      </c>
      <c r="P924" s="17">
        <f>SUM(P926:P933)</f>
        <v>0</v>
      </c>
    </row>
    <row r="925" spans="3:16" x14ac:dyDescent="0.25">
      <c r="C925" s="11" t="s">
        <v>802</v>
      </c>
      <c r="H925" s="64"/>
      <c r="J925" s="64"/>
      <c r="L925" s="64"/>
      <c r="N925" s="64"/>
      <c r="P925" s="64"/>
    </row>
    <row r="926" spans="3:16" x14ac:dyDescent="0.25">
      <c r="D926" s="3" t="s">
        <v>760</v>
      </c>
      <c r="F926" s="7">
        <v>50201010</v>
      </c>
      <c r="H926" s="8">
        <v>436829</v>
      </c>
      <c r="J926" s="8">
        <v>436829</v>
      </c>
      <c r="L926" s="8">
        <v>436829</v>
      </c>
      <c r="N926" s="8">
        <v>0</v>
      </c>
      <c r="P926" s="8">
        <v>0</v>
      </c>
    </row>
    <row r="927" spans="3:16" x14ac:dyDescent="0.25">
      <c r="D927" s="3" t="s">
        <v>19</v>
      </c>
      <c r="F927" s="7">
        <v>50202010</v>
      </c>
      <c r="H927" s="8">
        <v>10900</v>
      </c>
      <c r="J927" s="8">
        <v>10900</v>
      </c>
      <c r="L927" s="8">
        <v>10900</v>
      </c>
      <c r="N927" s="8">
        <v>0</v>
      </c>
      <c r="P927" s="8">
        <v>0</v>
      </c>
    </row>
    <row r="928" spans="3:16" x14ac:dyDescent="0.25">
      <c r="D928" s="3" t="s">
        <v>769</v>
      </c>
      <c r="F928" s="7">
        <v>50203010</v>
      </c>
      <c r="H928" s="8">
        <v>134551.70000000001</v>
      </c>
      <c r="J928" s="8">
        <v>134551.70000000001</v>
      </c>
      <c r="L928" s="8">
        <v>134551.70000000001</v>
      </c>
      <c r="N928" s="8">
        <v>0</v>
      </c>
      <c r="P928" s="8">
        <v>0</v>
      </c>
    </row>
    <row r="929" spans="3:16" x14ac:dyDescent="0.25">
      <c r="D929" s="3" t="s">
        <v>662</v>
      </c>
      <c r="F929" s="7">
        <v>50203080</v>
      </c>
      <c r="H929" s="8">
        <v>100000</v>
      </c>
      <c r="J929" s="8">
        <v>100000</v>
      </c>
      <c r="L929" s="8">
        <v>100000</v>
      </c>
      <c r="N929" s="8">
        <v>0</v>
      </c>
      <c r="P929" s="8">
        <v>0</v>
      </c>
    </row>
    <row r="930" spans="3:16" x14ac:dyDescent="0.25">
      <c r="D930" s="3" t="s">
        <v>748</v>
      </c>
      <c r="F930" s="7">
        <v>50203990</v>
      </c>
      <c r="H930" s="8">
        <v>64735</v>
      </c>
      <c r="J930" s="8">
        <v>64735</v>
      </c>
      <c r="L930" s="8">
        <v>64735</v>
      </c>
      <c r="N930" s="8">
        <v>0</v>
      </c>
      <c r="P930" s="8">
        <v>0</v>
      </c>
    </row>
    <row r="931" spans="3:16" x14ac:dyDescent="0.25">
      <c r="D931" s="3" t="s">
        <v>25</v>
      </c>
      <c r="F931" s="7">
        <v>50211990</v>
      </c>
      <c r="H931" s="8">
        <v>10442800</v>
      </c>
      <c r="J931" s="8">
        <v>10442800</v>
      </c>
      <c r="L931" s="8">
        <v>10442800</v>
      </c>
      <c r="N931" s="8">
        <v>0</v>
      </c>
      <c r="P931" s="8">
        <v>0</v>
      </c>
    </row>
    <row r="932" spans="3:16" x14ac:dyDescent="0.25">
      <c r="D932" s="3" t="s">
        <v>38</v>
      </c>
      <c r="F932" s="7">
        <v>50299030</v>
      </c>
      <c r="H932" s="8">
        <v>990000</v>
      </c>
      <c r="J932" s="8">
        <v>990000</v>
      </c>
      <c r="L932" s="8">
        <v>990000</v>
      </c>
      <c r="N932" s="8">
        <v>0</v>
      </c>
      <c r="P932" s="8">
        <v>0</v>
      </c>
    </row>
    <row r="933" spans="3:16" x14ac:dyDescent="0.25">
      <c r="D933" s="3" t="s">
        <v>43</v>
      </c>
      <c r="F933" s="7">
        <v>50299080</v>
      </c>
      <c r="H933" s="8">
        <v>502500</v>
      </c>
      <c r="J933" s="8">
        <v>502500</v>
      </c>
      <c r="L933" s="8">
        <v>502500</v>
      </c>
      <c r="N933" s="8">
        <v>0</v>
      </c>
      <c r="P933" s="8">
        <v>0</v>
      </c>
    </row>
    <row r="934" spans="3:16" x14ac:dyDescent="0.25">
      <c r="C934" s="11" t="s">
        <v>94</v>
      </c>
      <c r="H934" s="17">
        <f>SUM(H935:H942)</f>
        <v>434419</v>
      </c>
      <c r="J934" s="17">
        <f>SUM(J935:J942)</f>
        <v>434419</v>
      </c>
      <c r="L934" s="17">
        <f>SUM(L935:L942)</f>
        <v>434418.5</v>
      </c>
      <c r="N934" s="17">
        <f>SUM(N935:N942)</f>
        <v>0</v>
      </c>
      <c r="P934" s="17">
        <f>SUM(P935:P942)</f>
        <v>0.5</v>
      </c>
    </row>
    <row r="935" spans="3:16" x14ac:dyDescent="0.25">
      <c r="D935" s="3" t="s">
        <v>760</v>
      </c>
      <c r="F935" s="7">
        <v>50201010</v>
      </c>
      <c r="H935" s="8">
        <v>74490</v>
      </c>
      <c r="J935" s="8">
        <v>74490</v>
      </c>
      <c r="L935" s="8">
        <v>74490</v>
      </c>
      <c r="N935" s="8">
        <v>0</v>
      </c>
      <c r="P935" s="8">
        <f t="shared" ref="P935:P942" si="4">+J935-L935</f>
        <v>0</v>
      </c>
    </row>
    <row r="936" spans="3:16" x14ac:dyDescent="0.25">
      <c r="D936" s="3" t="s">
        <v>19</v>
      </c>
      <c r="F936" s="7">
        <v>50202010</v>
      </c>
      <c r="H936" s="8">
        <v>198300</v>
      </c>
      <c r="J936" s="8">
        <v>198300</v>
      </c>
      <c r="L936" s="8">
        <v>198300</v>
      </c>
      <c r="N936" s="8">
        <v>0</v>
      </c>
      <c r="P936" s="8">
        <f t="shared" si="4"/>
        <v>0</v>
      </c>
    </row>
    <row r="937" spans="3:16" x14ac:dyDescent="0.25">
      <c r="D937" s="3" t="s">
        <v>36</v>
      </c>
      <c r="F937" s="7">
        <v>50203010</v>
      </c>
      <c r="H937" s="8">
        <v>20359</v>
      </c>
      <c r="J937" s="8">
        <v>20359</v>
      </c>
      <c r="L937" s="8">
        <v>20358.5</v>
      </c>
      <c r="N937" s="8">
        <v>0</v>
      </c>
      <c r="P937" s="8">
        <v>0.5</v>
      </c>
    </row>
    <row r="938" spans="3:16" x14ac:dyDescent="0.25">
      <c r="D938" s="3" t="s">
        <v>748</v>
      </c>
      <c r="F938" s="7">
        <v>50203990</v>
      </c>
      <c r="H938" s="8">
        <v>39915</v>
      </c>
      <c r="J938" s="8">
        <v>39915</v>
      </c>
      <c r="L938" s="8">
        <v>39915</v>
      </c>
      <c r="N938" s="8">
        <v>0</v>
      </c>
      <c r="P938" s="8">
        <f t="shared" si="4"/>
        <v>0</v>
      </c>
    </row>
    <row r="939" spans="3:16" x14ac:dyDescent="0.25">
      <c r="D939" s="3" t="s">
        <v>40</v>
      </c>
      <c r="F939" s="7">
        <v>50206020</v>
      </c>
      <c r="H939" s="8">
        <v>15000</v>
      </c>
      <c r="J939" s="8">
        <v>15000</v>
      </c>
      <c r="L939" s="8">
        <v>15000</v>
      </c>
      <c r="N939" s="8">
        <v>0</v>
      </c>
      <c r="P939" s="8">
        <f t="shared" si="4"/>
        <v>0</v>
      </c>
    </row>
    <row r="940" spans="3:16" x14ac:dyDescent="0.25">
      <c r="D940" s="3" t="s">
        <v>25</v>
      </c>
      <c r="F940" s="7">
        <v>50211990</v>
      </c>
      <c r="H940" s="8">
        <v>6500</v>
      </c>
      <c r="J940" s="8">
        <v>6500</v>
      </c>
      <c r="L940" s="8">
        <v>6500</v>
      </c>
      <c r="N940" s="8">
        <v>0</v>
      </c>
      <c r="P940" s="8">
        <f t="shared" si="4"/>
        <v>0</v>
      </c>
    </row>
    <row r="941" spans="3:16" x14ac:dyDescent="0.25">
      <c r="D941" s="3" t="s">
        <v>91</v>
      </c>
      <c r="F941" s="7">
        <v>50299020</v>
      </c>
      <c r="H941" s="8">
        <v>19855</v>
      </c>
      <c r="J941" s="8">
        <v>19855</v>
      </c>
      <c r="L941" s="8">
        <v>19855</v>
      </c>
      <c r="N941" s="8">
        <v>0</v>
      </c>
      <c r="P941" s="8">
        <f t="shared" si="4"/>
        <v>0</v>
      </c>
    </row>
    <row r="942" spans="3:16" x14ac:dyDescent="0.25">
      <c r="D942" s="3" t="s">
        <v>735</v>
      </c>
      <c r="F942" s="7">
        <v>50299030</v>
      </c>
      <c r="H942" s="8">
        <v>60000</v>
      </c>
      <c r="J942" s="8">
        <v>60000</v>
      </c>
      <c r="L942" s="8">
        <v>60000</v>
      </c>
      <c r="N942" s="8">
        <v>0</v>
      </c>
      <c r="P942" s="8">
        <f t="shared" si="4"/>
        <v>0</v>
      </c>
    </row>
    <row r="943" spans="3:16" x14ac:dyDescent="0.25">
      <c r="C943" s="11" t="s">
        <v>95</v>
      </c>
      <c r="H943" s="17">
        <f>SUM(H944:H952)</f>
        <v>1540311.5</v>
      </c>
      <c r="J943" s="17">
        <f>SUM(J944:J952)</f>
        <v>1540311.5</v>
      </c>
      <c r="L943" s="17">
        <f>SUM(L944:L952)</f>
        <v>1540311.1</v>
      </c>
      <c r="N943" s="17">
        <f>SUM(N944:N952)</f>
        <v>0</v>
      </c>
      <c r="P943" s="17">
        <f>SUM(P944:P952)</f>
        <v>0.40000000002328306</v>
      </c>
    </row>
    <row r="944" spans="3:16" x14ac:dyDescent="0.25">
      <c r="D944" s="3" t="s">
        <v>760</v>
      </c>
      <c r="F944" s="7">
        <v>50201010</v>
      </c>
      <c r="H944" s="8">
        <v>78976</v>
      </c>
      <c r="J944" s="8">
        <v>78976</v>
      </c>
      <c r="L944" s="8">
        <v>78976</v>
      </c>
      <c r="N944" s="8">
        <v>0</v>
      </c>
      <c r="P944" s="8">
        <v>0</v>
      </c>
    </row>
    <row r="945" spans="3:16" x14ac:dyDescent="0.25">
      <c r="D945" s="3" t="s">
        <v>19</v>
      </c>
      <c r="F945" s="7">
        <v>50202010</v>
      </c>
      <c r="H945" s="8">
        <v>9600</v>
      </c>
      <c r="J945" s="8">
        <v>9600</v>
      </c>
      <c r="L945" s="8">
        <v>9600</v>
      </c>
      <c r="N945" s="8">
        <v>0</v>
      </c>
      <c r="P945" s="8">
        <v>0</v>
      </c>
    </row>
    <row r="946" spans="3:16" x14ac:dyDescent="0.25">
      <c r="D946" s="3" t="s">
        <v>751</v>
      </c>
      <c r="F946" s="7">
        <v>50203010</v>
      </c>
      <c r="H946" s="8">
        <v>48363.5</v>
      </c>
      <c r="J946" s="8">
        <v>48363.5</v>
      </c>
      <c r="L946" s="8">
        <v>48363.5</v>
      </c>
      <c r="N946" s="8">
        <v>0</v>
      </c>
      <c r="P946" s="8">
        <v>0</v>
      </c>
    </row>
    <row r="947" spans="3:16" x14ac:dyDescent="0.25">
      <c r="D947" s="3" t="s">
        <v>93</v>
      </c>
      <c r="F947" s="7">
        <v>50203070</v>
      </c>
      <c r="H947" s="8">
        <f>766038.6+0.4</f>
        <v>766039</v>
      </c>
      <c r="J947" s="8">
        <v>766039</v>
      </c>
      <c r="L947" s="8">
        <v>766038.6</v>
      </c>
      <c r="N947" s="8">
        <f>+H947-J947</f>
        <v>0</v>
      </c>
      <c r="P947" s="8">
        <f>+J947-L947</f>
        <v>0.40000000002328306</v>
      </c>
    </row>
    <row r="948" spans="3:16" x14ac:dyDescent="0.25">
      <c r="D948" s="3" t="s">
        <v>662</v>
      </c>
      <c r="F948" s="7">
        <v>50203080</v>
      </c>
      <c r="H948" s="8">
        <v>158513</v>
      </c>
      <c r="J948" s="8">
        <v>158513</v>
      </c>
      <c r="L948" s="8">
        <v>158513</v>
      </c>
      <c r="N948" s="8">
        <v>0</v>
      </c>
      <c r="P948" s="8">
        <v>0</v>
      </c>
    </row>
    <row r="949" spans="3:16" x14ac:dyDescent="0.25">
      <c r="D949" s="3" t="s">
        <v>37</v>
      </c>
      <c r="F949" s="7">
        <v>50203990</v>
      </c>
      <c r="H949" s="8">
        <v>80045</v>
      </c>
      <c r="J949" s="8">
        <v>80045</v>
      </c>
      <c r="L949" s="8">
        <v>80045</v>
      </c>
      <c r="N949" s="8">
        <v>0</v>
      </c>
      <c r="P949" s="8">
        <v>0</v>
      </c>
    </row>
    <row r="950" spans="3:16" x14ac:dyDescent="0.25">
      <c r="D950" s="3" t="s">
        <v>25</v>
      </c>
      <c r="F950" s="7">
        <v>50211990</v>
      </c>
      <c r="H950" s="8">
        <v>15000</v>
      </c>
      <c r="J950" s="8">
        <v>15000</v>
      </c>
      <c r="L950" s="8">
        <v>15000</v>
      </c>
      <c r="N950" s="8">
        <v>0</v>
      </c>
      <c r="P950" s="8">
        <v>0</v>
      </c>
    </row>
    <row r="951" spans="3:16" x14ac:dyDescent="0.25">
      <c r="D951" s="3" t="s">
        <v>73</v>
      </c>
      <c r="F951" s="7">
        <v>50216010</v>
      </c>
      <c r="H951" s="8">
        <v>11750</v>
      </c>
      <c r="J951" s="8">
        <v>11750</v>
      </c>
      <c r="L951" s="8">
        <v>11750</v>
      </c>
      <c r="N951" s="8">
        <v>0</v>
      </c>
      <c r="P951" s="8">
        <v>0</v>
      </c>
    </row>
    <row r="952" spans="3:16" x14ac:dyDescent="0.25">
      <c r="D952" s="3" t="s">
        <v>735</v>
      </c>
      <c r="F952" s="7">
        <v>50299030</v>
      </c>
      <c r="H952" s="8">
        <v>372025</v>
      </c>
      <c r="J952" s="8">
        <v>372025</v>
      </c>
      <c r="L952" s="8">
        <v>372025</v>
      </c>
      <c r="N952" s="8">
        <v>0</v>
      </c>
      <c r="P952" s="8">
        <v>0</v>
      </c>
    </row>
    <row r="953" spans="3:16" x14ac:dyDescent="0.25">
      <c r="C953" s="11" t="s">
        <v>96</v>
      </c>
      <c r="H953" s="17">
        <f>SUM(H954:H964)</f>
        <v>5136774</v>
      </c>
      <c r="J953" s="17">
        <f>SUM(J954:J964)</f>
        <v>5136774</v>
      </c>
      <c r="L953" s="17">
        <f>SUM(L954:L964)</f>
        <v>5136774</v>
      </c>
      <c r="N953" s="17">
        <f>SUM(N954:N964)</f>
        <v>0</v>
      </c>
      <c r="P953" s="17">
        <f>SUM(P954:P964)</f>
        <v>0</v>
      </c>
    </row>
    <row r="954" spans="3:16" x14ac:dyDescent="0.25">
      <c r="D954" s="3" t="s">
        <v>760</v>
      </c>
      <c r="F954" s="7">
        <v>50201010</v>
      </c>
      <c r="H954" s="8">
        <v>111698</v>
      </c>
      <c r="J954" s="8">
        <v>111698</v>
      </c>
      <c r="L954" s="8">
        <v>111698</v>
      </c>
      <c r="N954" s="8">
        <v>0</v>
      </c>
      <c r="P954" s="8">
        <v>0</v>
      </c>
    </row>
    <row r="955" spans="3:16" x14ac:dyDescent="0.25">
      <c r="D955" s="3" t="s">
        <v>19</v>
      </c>
      <c r="F955" s="7">
        <v>50202010</v>
      </c>
      <c r="H955" s="8">
        <v>39500</v>
      </c>
      <c r="J955" s="8">
        <v>39500</v>
      </c>
      <c r="L955" s="8">
        <v>39500</v>
      </c>
      <c r="N955" s="8">
        <v>0</v>
      </c>
      <c r="P955" s="8">
        <v>0</v>
      </c>
    </row>
    <row r="956" spans="3:16" x14ac:dyDescent="0.25">
      <c r="D956" s="3" t="s">
        <v>36</v>
      </c>
      <c r="F956" s="7">
        <v>50203010</v>
      </c>
      <c r="H956" s="8">
        <v>99808</v>
      </c>
      <c r="J956" s="8">
        <v>99808</v>
      </c>
      <c r="L956" s="8">
        <v>99808</v>
      </c>
      <c r="N956" s="8">
        <v>0</v>
      </c>
      <c r="P956" s="8">
        <v>0</v>
      </c>
    </row>
    <row r="957" spans="3:16" x14ac:dyDescent="0.25">
      <c r="D957" s="3" t="s">
        <v>93</v>
      </c>
      <c r="F957" s="7">
        <v>50203070</v>
      </c>
      <c r="H957" s="8">
        <v>199538</v>
      </c>
      <c r="J957" s="8">
        <v>199538</v>
      </c>
      <c r="L957" s="8">
        <v>199538</v>
      </c>
      <c r="N957" s="8">
        <v>0</v>
      </c>
      <c r="P957" s="8">
        <v>0</v>
      </c>
    </row>
    <row r="958" spans="3:16" x14ac:dyDescent="0.25">
      <c r="D958" s="3" t="s">
        <v>99</v>
      </c>
      <c r="F958" s="7">
        <v>50203990</v>
      </c>
      <c r="H958" s="8">
        <v>351030</v>
      </c>
      <c r="J958" s="8">
        <v>351030</v>
      </c>
      <c r="L958" s="8">
        <v>351030</v>
      </c>
      <c r="N958" s="8">
        <v>0</v>
      </c>
      <c r="P958" s="8">
        <v>0</v>
      </c>
    </row>
    <row r="959" spans="3:16" x14ac:dyDescent="0.25">
      <c r="D959" s="3" t="s">
        <v>737</v>
      </c>
      <c r="F959" s="7">
        <v>50206020</v>
      </c>
      <c r="H959" s="8">
        <v>100000</v>
      </c>
      <c r="J959" s="8">
        <v>100000</v>
      </c>
      <c r="L959" s="8">
        <v>100000</v>
      </c>
      <c r="N959" s="8">
        <v>0</v>
      </c>
      <c r="P959" s="8">
        <v>0</v>
      </c>
    </row>
    <row r="960" spans="3:16" x14ac:dyDescent="0.25">
      <c r="D960" s="3" t="s">
        <v>25</v>
      </c>
      <c r="F960" s="7">
        <v>50211990</v>
      </c>
      <c r="H960" s="8">
        <v>2668600</v>
      </c>
      <c r="J960" s="8">
        <v>2668600</v>
      </c>
      <c r="L960" s="8">
        <v>2668600</v>
      </c>
      <c r="N960" s="8">
        <v>0</v>
      </c>
      <c r="P960" s="8">
        <f>J960-L960</f>
        <v>0</v>
      </c>
    </row>
    <row r="961" spans="2:16" x14ac:dyDescent="0.25">
      <c r="D961" s="3" t="s">
        <v>73</v>
      </c>
      <c r="F961" s="7">
        <v>50216010</v>
      </c>
      <c r="H961" s="8">
        <v>12750</v>
      </c>
      <c r="J961" s="8">
        <v>12750</v>
      </c>
      <c r="L961" s="8">
        <v>12750</v>
      </c>
      <c r="N961" s="8">
        <v>0</v>
      </c>
      <c r="P961" s="8">
        <v>0</v>
      </c>
    </row>
    <row r="962" spans="2:16" x14ac:dyDescent="0.25">
      <c r="D962" s="3" t="s">
        <v>91</v>
      </c>
      <c r="F962" s="7">
        <v>50299020</v>
      </c>
      <c r="H962" s="8">
        <v>99990</v>
      </c>
      <c r="J962" s="8">
        <v>99990</v>
      </c>
      <c r="L962" s="8">
        <v>99990</v>
      </c>
      <c r="N962" s="8">
        <v>0</v>
      </c>
      <c r="P962" s="8">
        <v>0</v>
      </c>
    </row>
    <row r="963" spans="2:16" x14ac:dyDescent="0.25">
      <c r="D963" s="3" t="s">
        <v>735</v>
      </c>
      <c r="F963" s="7">
        <v>50299030</v>
      </c>
      <c r="H963" s="8">
        <v>760000</v>
      </c>
      <c r="J963" s="8">
        <v>760000</v>
      </c>
      <c r="L963" s="8">
        <v>760000</v>
      </c>
      <c r="N963" s="8">
        <v>0</v>
      </c>
      <c r="P963" s="8">
        <v>0</v>
      </c>
    </row>
    <row r="964" spans="2:16" x14ac:dyDescent="0.25">
      <c r="D964" s="3" t="s">
        <v>43</v>
      </c>
      <c r="F964" s="7">
        <v>50299080</v>
      </c>
      <c r="H964" s="8">
        <v>693860</v>
      </c>
      <c r="J964" s="8">
        <v>693860</v>
      </c>
      <c r="L964" s="8">
        <v>693860</v>
      </c>
      <c r="N964" s="8">
        <v>0</v>
      </c>
      <c r="P964" s="8">
        <v>0</v>
      </c>
    </row>
    <row r="966" spans="2:16" x14ac:dyDescent="0.25">
      <c r="C966" s="11" t="s">
        <v>297</v>
      </c>
      <c r="H966" s="17">
        <f>+H866+H849</f>
        <v>46391193.600000001</v>
      </c>
      <c r="I966" s="8" t="s">
        <v>0</v>
      </c>
      <c r="J966" s="17">
        <f>+J866+J849</f>
        <v>46391193.600000001</v>
      </c>
      <c r="K966" s="8" t="s">
        <v>0</v>
      </c>
      <c r="L966" s="17">
        <f>+L866+L849</f>
        <v>46384833.25</v>
      </c>
      <c r="M966" s="8" t="s">
        <v>0</v>
      </c>
      <c r="N966" s="17">
        <f>+N866+N849</f>
        <v>0</v>
      </c>
      <c r="O966" s="8" t="s">
        <v>0</v>
      </c>
      <c r="P966" s="17">
        <f>+P866+P849</f>
        <v>6360.3500000000231</v>
      </c>
    </row>
    <row r="968" spans="2:16" x14ac:dyDescent="0.25">
      <c r="B968" s="11" t="s">
        <v>298</v>
      </c>
      <c r="F968" s="7" t="s">
        <v>299</v>
      </c>
    </row>
    <row r="969" spans="2:16" x14ac:dyDescent="0.25">
      <c r="B969" s="11" t="s">
        <v>160</v>
      </c>
      <c r="F969" s="7">
        <v>100</v>
      </c>
      <c r="H969" s="17">
        <f>SUM(H970:H983)</f>
        <v>2938702</v>
      </c>
      <c r="J969" s="17">
        <f>SUM(J970:J983)</f>
        <v>2938702</v>
      </c>
      <c r="L969" s="17">
        <f>SUM(L970:L983)</f>
        <v>2867321.4</v>
      </c>
      <c r="N969" s="17">
        <f>SUM(N970:N983)</f>
        <v>0</v>
      </c>
      <c r="P969" s="17">
        <f>SUM(P970:P983)</f>
        <v>71380.600000000006</v>
      </c>
    </row>
    <row r="970" spans="2:16" x14ac:dyDescent="0.25">
      <c r="D970" s="3" t="s">
        <v>8</v>
      </c>
      <c r="F970" s="7">
        <v>50101010</v>
      </c>
      <c r="H970" s="8">
        <v>1872876</v>
      </c>
      <c r="J970" s="8">
        <v>1872876</v>
      </c>
      <c r="L970" s="8">
        <v>1872876</v>
      </c>
      <c r="N970" s="8">
        <v>0</v>
      </c>
      <c r="P970" s="8">
        <v>0</v>
      </c>
    </row>
    <row r="971" spans="2:16" x14ac:dyDescent="0.25">
      <c r="D971" s="3" t="s">
        <v>162</v>
      </c>
      <c r="F971" s="7">
        <v>50102010</v>
      </c>
      <c r="H971" s="8">
        <v>72000</v>
      </c>
      <c r="J971" s="8">
        <v>72000</v>
      </c>
      <c r="L971" s="8">
        <v>72000</v>
      </c>
      <c r="N971" s="8">
        <v>0</v>
      </c>
      <c r="P971" s="8">
        <v>0</v>
      </c>
    </row>
    <row r="972" spans="2:16" x14ac:dyDescent="0.25">
      <c r="D972" s="3" t="s">
        <v>776</v>
      </c>
      <c r="F972" s="7">
        <v>50102020</v>
      </c>
      <c r="H972" s="8">
        <v>102000</v>
      </c>
      <c r="J972" s="8">
        <v>102000</v>
      </c>
      <c r="L972" s="8">
        <v>102000</v>
      </c>
      <c r="N972" s="8">
        <v>0</v>
      </c>
      <c r="P972" s="8">
        <v>0</v>
      </c>
    </row>
    <row r="973" spans="2:16" x14ac:dyDescent="0.25">
      <c r="D973" s="3" t="s">
        <v>11</v>
      </c>
      <c r="F973" s="7">
        <v>50102040</v>
      </c>
      <c r="H973" s="8">
        <v>15000</v>
      </c>
      <c r="J973" s="8">
        <v>15000</v>
      </c>
      <c r="L973" s="8">
        <v>15000</v>
      </c>
      <c r="N973" s="8">
        <v>0</v>
      </c>
      <c r="P973" s="8">
        <v>0</v>
      </c>
    </row>
    <row r="974" spans="2:16" x14ac:dyDescent="0.25">
      <c r="D974" s="3" t="s">
        <v>88</v>
      </c>
      <c r="F974" s="7">
        <v>50102050</v>
      </c>
      <c r="H974" s="8">
        <v>54000</v>
      </c>
      <c r="J974" s="8">
        <v>54000</v>
      </c>
      <c r="L974" s="8">
        <v>24200</v>
      </c>
      <c r="N974" s="8">
        <v>0</v>
      </c>
      <c r="P974" s="8">
        <v>29800</v>
      </c>
    </row>
    <row r="975" spans="2:16" x14ac:dyDescent="0.25">
      <c r="D975" s="3" t="s">
        <v>89</v>
      </c>
      <c r="F975" s="7">
        <v>50102060</v>
      </c>
      <c r="H975" s="8">
        <v>5400</v>
      </c>
      <c r="J975" s="8">
        <v>5400</v>
      </c>
      <c r="L975" s="8">
        <v>3115.92</v>
      </c>
      <c r="N975" s="8">
        <v>0</v>
      </c>
      <c r="P975" s="8">
        <v>2284.08</v>
      </c>
    </row>
    <row r="976" spans="2:16" x14ac:dyDescent="0.25">
      <c r="D976" s="3" t="s">
        <v>90</v>
      </c>
      <c r="F976" s="7">
        <v>50102110</v>
      </c>
      <c r="H976" s="8">
        <v>229684</v>
      </c>
      <c r="J976" s="8">
        <v>229684</v>
      </c>
      <c r="L976" s="8">
        <v>190387.48</v>
      </c>
      <c r="N976" s="8">
        <v>0</v>
      </c>
      <c r="P976" s="8">
        <v>39296.519999999997</v>
      </c>
    </row>
    <row r="977" spans="2:16" x14ac:dyDescent="0.25">
      <c r="D977" s="3" t="s">
        <v>12</v>
      </c>
      <c r="F977" s="7">
        <v>50102140</v>
      </c>
      <c r="H977" s="8">
        <v>312146</v>
      </c>
      <c r="J977" s="8">
        <v>312146</v>
      </c>
      <c r="L977" s="8">
        <v>312146</v>
      </c>
      <c r="N977" s="8">
        <v>0</v>
      </c>
      <c r="P977" s="8">
        <v>0</v>
      </c>
    </row>
    <row r="978" spans="2:16" x14ac:dyDescent="0.25">
      <c r="D978" s="3" t="s">
        <v>13</v>
      </c>
      <c r="F978" s="7">
        <v>50102150</v>
      </c>
      <c r="H978" s="8">
        <v>15000</v>
      </c>
      <c r="J978" s="8">
        <v>15000</v>
      </c>
      <c r="L978" s="8">
        <v>15000</v>
      </c>
      <c r="N978" s="8">
        <v>0</v>
      </c>
      <c r="P978" s="8">
        <v>0</v>
      </c>
    </row>
    <row r="979" spans="2:16" x14ac:dyDescent="0.25">
      <c r="D979" s="3" t="s">
        <v>164</v>
      </c>
      <c r="F979" s="7">
        <v>50103010</v>
      </c>
      <c r="H979" s="8">
        <v>224746</v>
      </c>
      <c r="J979" s="8">
        <v>224746</v>
      </c>
      <c r="L979" s="8">
        <v>224746</v>
      </c>
      <c r="N979" s="8">
        <v>0</v>
      </c>
      <c r="P979" s="8">
        <v>0</v>
      </c>
    </row>
    <row r="980" spans="2:16" x14ac:dyDescent="0.25">
      <c r="D980" s="3" t="s">
        <v>14</v>
      </c>
      <c r="F980" s="7">
        <v>50103020</v>
      </c>
      <c r="H980" s="8">
        <v>3600</v>
      </c>
      <c r="J980" s="8">
        <v>3600</v>
      </c>
      <c r="L980" s="8">
        <v>3600</v>
      </c>
      <c r="N980" s="8">
        <v>0</v>
      </c>
      <c r="P980" s="8">
        <v>0</v>
      </c>
    </row>
    <row r="981" spans="2:16" x14ac:dyDescent="0.25">
      <c r="D981" s="3" t="s">
        <v>15</v>
      </c>
      <c r="F981" s="7">
        <v>50103030</v>
      </c>
      <c r="H981" s="8">
        <v>13650</v>
      </c>
      <c r="J981" s="8">
        <v>13650</v>
      </c>
      <c r="L981" s="8">
        <v>13650</v>
      </c>
      <c r="N981" s="8">
        <v>0</v>
      </c>
      <c r="P981" s="8">
        <v>0</v>
      </c>
    </row>
    <row r="982" spans="2:16" x14ac:dyDescent="0.25">
      <c r="D982" s="3" t="s">
        <v>165</v>
      </c>
      <c r="F982" s="7">
        <v>50103040</v>
      </c>
      <c r="H982" s="8">
        <v>3600</v>
      </c>
      <c r="J982" s="8">
        <v>3600</v>
      </c>
      <c r="L982" s="8">
        <v>3600</v>
      </c>
      <c r="N982" s="8">
        <v>0</v>
      </c>
      <c r="P982" s="8">
        <v>0</v>
      </c>
    </row>
    <row r="983" spans="2:16" x14ac:dyDescent="0.25">
      <c r="D983" s="3" t="s">
        <v>16</v>
      </c>
      <c r="F983" s="7">
        <v>50104990</v>
      </c>
      <c r="H983" s="8">
        <v>15000</v>
      </c>
      <c r="J983" s="8">
        <v>15000</v>
      </c>
      <c r="L983" s="8">
        <v>15000</v>
      </c>
      <c r="N983" s="8">
        <v>0</v>
      </c>
      <c r="P983" s="8">
        <v>0</v>
      </c>
    </row>
    <row r="984" spans="2:16" x14ac:dyDescent="0.25">
      <c r="B984" s="11" t="s">
        <v>166</v>
      </c>
      <c r="F984" s="7">
        <v>200</v>
      </c>
      <c r="H984" s="17">
        <f>SUM(H985:H990,H992)</f>
        <v>14653600</v>
      </c>
      <c r="J984" s="17">
        <f>SUM(J985:J990,J992)</f>
        <v>14653600</v>
      </c>
      <c r="L984" s="17">
        <f>SUM(L985:L990,L992)</f>
        <v>10128628.800000001</v>
      </c>
      <c r="N984" s="17">
        <f>SUM(N985:N990,N992)</f>
        <v>0</v>
      </c>
      <c r="P984" s="17">
        <f>SUM(P985:P990,P992)</f>
        <v>4524971.2</v>
      </c>
    </row>
    <row r="985" spans="2:16" x14ac:dyDescent="0.25">
      <c r="D985" s="3" t="s">
        <v>93</v>
      </c>
      <c r="F985" s="7">
        <v>50203070</v>
      </c>
      <c r="H985" s="8">
        <v>3654000</v>
      </c>
      <c r="J985" s="8">
        <v>3654000</v>
      </c>
      <c r="L985" s="8">
        <v>3652748.3</v>
      </c>
      <c r="N985" s="8">
        <v>0</v>
      </c>
      <c r="P985" s="8">
        <f>+J985-L985</f>
        <v>1251.7000000001863</v>
      </c>
    </row>
    <row r="986" spans="2:16" x14ac:dyDescent="0.25">
      <c r="D986" s="3" t="s">
        <v>300</v>
      </c>
      <c r="F986" s="7">
        <v>50203080</v>
      </c>
      <c r="H986" s="8">
        <v>9914200</v>
      </c>
      <c r="J986" s="8">
        <v>9914200</v>
      </c>
      <c r="L986" s="8">
        <v>5399666.5</v>
      </c>
      <c r="N986" s="8">
        <v>0</v>
      </c>
      <c r="P986" s="8">
        <f t="shared" ref="P986:P990" si="5">+J986-L986</f>
        <v>4514533.5</v>
      </c>
    </row>
    <row r="987" spans="2:16" x14ac:dyDescent="0.25">
      <c r="D987" s="3" t="s">
        <v>21</v>
      </c>
      <c r="F987" s="7">
        <v>50204010</v>
      </c>
      <c r="H987" s="8">
        <v>7000</v>
      </c>
      <c r="J987" s="8">
        <v>7000</v>
      </c>
      <c r="L987" s="8">
        <v>4400</v>
      </c>
      <c r="N987" s="8">
        <v>0</v>
      </c>
      <c r="P987" s="8">
        <f t="shared" si="5"/>
        <v>2600</v>
      </c>
    </row>
    <row r="988" spans="2:16" x14ac:dyDescent="0.25">
      <c r="D988" s="3" t="s">
        <v>22</v>
      </c>
      <c r="F988" s="7">
        <v>50205020</v>
      </c>
      <c r="H988" s="8">
        <v>48000</v>
      </c>
      <c r="J988" s="8">
        <v>48000</v>
      </c>
      <c r="L988" s="8">
        <v>42000</v>
      </c>
      <c r="N988" s="8">
        <v>0</v>
      </c>
      <c r="P988" s="8">
        <f t="shared" si="5"/>
        <v>6000</v>
      </c>
    </row>
    <row r="989" spans="2:16" x14ac:dyDescent="0.25">
      <c r="D989" s="3" t="s">
        <v>73</v>
      </c>
      <c r="F989" s="7">
        <v>50216010</v>
      </c>
      <c r="H989" s="8">
        <v>408368</v>
      </c>
      <c r="J989" s="8">
        <v>408368</v>
      </c>
      <c r="L989" s="8">
        <v>408368</v>
      </c>
      <c r="N989" s="8">
        <v>0</v>
      </c>
      <c r="P989" s="8">
        <f t="shared" si="5"/>
        <v>0</v>
      </c>
    </row>
    <row r="990" spans="2:16" x14ac:dyDescent="0.25">
      <c r="D990" s="3" t="s">
        <v>91</v>
      </c>
      <c r="F990" s="7">
        <v>50299020</v>
      </c>
      <c r="H990" s="8">
        <v>22032</v>
      </c>
      <c r="J990" s="8">
        <v>22032</v>
      </c>
      <c r="L990" s="8">
        <v>22032</v>
      </c>
      <c r="N990" s="8">
        <v>0</v>
      </c>
      <c r="P990" s="8">
        <f t="shared" si="5"/>
        <v>0</v>
      </c>
    </row>
    <row r="991" spans="2:16" x14ac:dyDescent="0.25">
      <c r="C991" s="11" t="s">
        <v>256</v>
      </c>
    </row>
    <row r="992" spans="2:16" x14ac:dyDescent="0.25">
      <c r="C992" s="11" t="s">
        <v>97</v>
      </c>
      <c r="E992" s="11"/>
      <c r="H992" s="17">
        <f>SUM(H993:H996)</f>
        <v>600000</v>
      </c>
      <c r="J992" s="17">
        <f>SUM(J993:J996)</f>
        <v>600000</v>
      </c>
      <c r="L992" s="17">
        <f>SUM(L993:L996)</f>
        <v>599414</v>
      </c>
      <c r="N992" s="17">
        <f>SUM(N993:N996)</f>
        <v>0</v>
      </c>
      <c r="P992" s="17">
        <f>SUM(P993:P996)</f>
        <v>586</v>
      </c>
    </row>
    <row r="993" spans="2:16" x14ac:dyDescent="0.25">
      <c r="D993" s="3" t="s">
        <v>760</v>
      </c>
      <c r="F993" s="7">
        <v>50201010</v>
      </c>
      <c r="H993" s="8">
        <v>120000</v>
      </c>
      <c r="J993" s="8">
        <v>120000</v>
      </c>
      <c r="L993" s="8">
        <v>119831</v>
      </c>
      <c r="N993" s="8">
        <v>0</v>
      </c>
      <c r="P993" s="8">
        <v>169</v>
      </c>
    </row>
    <row r="994" spans="2:16" x14ac:dyDescent="0.25">
      <c r="D994" s="3" t="s">
        <v>19</v>
      </c>
      <c r="F994" s="7">
        <v>50202010</v>
      </c>
      <c r="H994" s="8">
        <v>71547</v>
      </c>
      <c r="J994" s="8">
        <v>71547</v>
      </c>
      <c r="L994" s="8">
        <v>71130</v>
      </c>
      <c r="N994" s="8">
        <v>0</v>
      </c>
      <c r="P994" s="8">
        <v>417</v>
      </c>
    </row>
    <row r="995" spans="2:16" x14ac:dyDescent="0.25">
      <c r="D995" s="3" t="s">
        <v>36</v>
      </c>
      <c r="F995" s="7">
        <v>50203010</v>
      </c>
      <c r="H995" s="8">
        <v>8478</v>
      </c>
      <c r="J995" s="8">
        <v>8478</v>
      </c>
      <c r="L995" s="8">
        <v>8478</v>
      </c>
      <c r="N995" s="8">
        <v>0</v>
      </c>
      <c r="P995" s="8">
        <v>0</v>
      </c>
    </row>
    <row r="996" spans="2:16" x14ac:dyDescent="0.25">
      <c r="D996" s="3" t="s">
        <v>38</v>
      </c>
      <c r="F996" s="7">
        <v>50299030</v>
      </c>
      <c r="H996" s="8">
        <v>399975</v>
      </c>
      <c r="J996" s="8">
        <v>399975</v>
      </c>
      <c r="L996" s="8">
        <v>399975</v>
      </c>
      <c r="N996" s="8">
        <v>0</v>
      </c>
      <c r="P996" s="8">
        <v>0</v>
      </c>
    </row>
    <row r="998" spans="2:16" x14ac:dyDescent="0.25">
      <c r="B998" s="11" t="s">
        <v>208</v>
      </c>
      <c r="F998" s="7">
        <v>300</v>
      </c>
    </row>
    <row r="999" spans="2:16" x14ac:dyDescent="0.25">
      <c r="D999" s="3" t="s">
        <v>54</v>
      </c>
      <c r="F999" s="7">
        <v>10704030</v>
      </c>
      <c r="H999" s="17">
        <v>604004</v>
      </c>
      <c r="J999" s="17">
        <v>604004</v>
      </c>
      <c r="L999" s="17">
        <v>0</v>
      </c>
      <c r="M999" s="17"/>
      <c r="N999" s="17">
        <v>0</v>
      </c>
      <c r="P999" s="17">
        <v>604004</v>
      </c>
    </row>
    <row r="1000" spans="2:16" x14ac:dyDescent="0.25">
      <c r="H1000" s="64"/>
      <c r="J1000" s="64"/>
      <c r="L1000" s="64"/>
      <c r="M1000" s="64"/>
      <c r="N1000" s="64"/>
      <c r="P1000" s="64"/>
    </row>
    <row r="1001" spans="2:16" x14ac:dyDescent="0.25">
      <c r="C1001" s="11" t="s">
        <v>301</v>
      </c>
      <c r="H1001" s="17">
        <f>+H999+H984+H969</f>
        <v>18196306</v>
      </c>
      <c r="I1001" s="8" t="s">
        <v>0</v>
      </c>
      <c r="J1001" s="17">
        <f>+J999+J984+J969</f>
        <v>18196306</v>
      </c>
      <c r="K1001" s="8" t="s">
        <v>0</v>
      </c>
      <c r="L1001" s="17">
        <f>+L999+L984+L969</f>
        <v>12995950.200000001</v>
      </c>
      <c r="M1001" s="8" t="s">
        <v>0</v>
      </c>
      <c r="N1001" s="17">
        <f>+N999+N984+N969</f>
        <v>0</v>
      </c>
      <c r="O1001" s="8" t="s">
        <v>0</v>
      </c>
      <c r="P1001" s="17">
        <f>+P999+P984+P969</f>
        <v>5200355.8</v>
      </c>
    </row>
    <row r="1003" spans="2:16" x14ac:dyDescent="0.25">
      <c r="B1003" s="11" t="s">
        <v>302</v>
      </c>
      <c r="F1003" s="7" t="s">
        <v>303</v>
      </c>
    </row>
    <row r="1004" spans="2:16" x14ac:dyDescent="0.25">
      <c r="B1004" s="11" t="s">
        <v>160</v>
      </c>
      <c r="F1004" s="7">
        <v>100</v>
      </c>
      <c r="H1004" s="17">
        <f>SUM(H1005:H1021)</f>
        <v>53908294.820000008</v>
      </c>
      <c r="J1004" s="17">
        <f>SUM(J1005:J1021)</f>
        <v>53908294.820000008</v>
      </c>
      <c r="L1004" s="17">
        <f>SUM(L1005:L1021)</f>
        <v>52578155.329999998</v>
      </c>
      <c r="N1004" s="17">
        <f>SUM(N1005:N1021)</f>
        <v>0</v>
      </c>
      <c r="P1004" s="17">
        <f>SUM(P1005:P1021)</f>
        <v>1330139.49</v>
      </c>
    </row>
    <row r="1005" spans="2:16" x14ac:dyDescent="0.25">
      <c r="D1005" s="3" t="s">
        <v>8</v>
      </c>
      <c r="F1005" s="7">
        <v>50101010</v>
      </c>
      <c r="H1005" s="8">
        <v>7096596</v>
      </c>
      <c r="J1005" s="8">
        <v>7096596</v>
      </c>
      <c r="L1005" s="8">
        <v>6894693.1900000004</v>
      </c>
      <c r="N1005" s="8">
        <v>0</v>
      </c>
      <c r="P1005" s="8">
        <v>201902.81</v>
      </c>
    </row>
    <row r="1006" spans="2:16" x14ac:dyDescent="0.25">
      <c r="D1006" s="3" t="s">
        <v>9</v>
      </c>
      <c r="F1006" s="7">
        <v>50101020</v>
      </c>
      <c r="H1006" s="8">
        <v>40354396.140000001</v>
      </c>
      <c r="J1006" s="8">
        <v>40354396.140000001</v>
      </c>
      <c r="L1006" s="8">
        <v>40343165.030000001</v>
      </c>
      <c r="N1006" s="8">
        <v>0</v>
      </c>
      <c r="P1006" s="8">
        <v>11231.11</v>
      </c>
    </row>
    <row r="1007" spans="2:16" x14ac:dyDescent="0.25">
      <c r="D1007" s="3" t="s">
        <v>162</v>
      </c>
      <c r="F1007" s="7">
        <v>50102010</v>
      </c>
      <c r="H1007" s="8">
        <v>602000</v>
      </c>
      <c r="J1007" s="8">
        <v>602000</v>
      </c>
      <c r="L1007" s="8">
        <v>533090.71</v>
      </c>
      <c r="N1007" s="8">
        <v>0</v>
      </c>
      <c r="P1007" s="8">
        <v>68909.289999999994</v>
      </c>
    </row>
    <row r="1008" spans="2:16" x14ac:dyDescent="0.25">
      <c r="D1008" s="3" t="s">
        <v>776</v>
      </c>
      <c r="F1008" s="7">
        <v>50102020</v>
      </c>
      <c r="H1008" s="8">
        <v>60000</v>
      </c>
      <c r="J1008" s="8">
        <v>60000</v>
      </c>
      <c r="L1008" s="8">
        <v>55000</v>
      </c>
      <c r="N1008" s="8">
        <v>0</v>
      </c>
      <c r="P1008" s="8">
        <v>5000</v>
      </c>
    </row>
    <row r="1009" spans="2:16" x14ac:dyDescent="0.25">
      <c r="D1009" s="3" t="s">
        <v>11</v>
      </c>
      <c r="F1009" s="7">
        <v>50102040</v>
      </c>
      <c r="H1009" s="8">
        <v>170000</v>
      </c>
      <c r="J1009" s="8">
        <v>170000</v>
      </c>
      <c r="L1009" s="8">
        <v>110000</v>
      </c>
      <c r="N1009" s="8">
        <v>0</v>
      </c>
      <c r="P1009" s="8">
        <v>60000</v>
      </c>
    </row>
    <row r="1010" spans="2:16" x14ac:dyDescent="0.25">
      <c r="D1010" s="3" t="s">
        <v>88</v>
      </c>
      <c r="F1010" s="7">
        <v>50102050</v>
      </c>
      <c r="H1010" s="8">
        <v>463500</v>
      </c>
      <c r="J1010" s="8">
        <v>463500</v>
      </c>
      <c r="L1010" s="8">
        <v>252650</v>
      </c>
      <c r="N1010" s="8">
        <v>0</v>
      </c>
      <c r="P1010" s="8">
        <v>210850</v>
      </c>
    </row>
    <row r="1011" spans="2:16" x14ac:dyDescent="0.25">
      <c r="D1011" s="3" t="s">
        <v>89</v>
      </c>
      <c r="F1011" s="7">
        <v>50102060</v>
      </c>
      <c r="H1011" s="8">
        <v>46350</v>
      </c>
      <c r="J1011" s="8">
        <v>46350</v>
      </c>
      <c r="L1011" s="8">
        <v>32257.07</v>
      </c>
      <c r="N1011" s="8">
        <v>0</v>
      </c>
      <c r="P1011" s="8">
        <v>14092.93</v>
      </c>
    </row>
    <row r="1012" spans="2:16" x14ac:dyDescent="0.25">
      <c r="D1012" s="3" t="s">
        <v>90</v>
      </c>
      <c r="F1012" s="7">
        <v>50102110</v>
      </c>
      <c r="H1012" s="8">
        <v>1522577.84</v>
      </c>
      <c r="J1012" s="8">
        <v>1522577.84</v>
      </c>
      <c r="L1012" s="8">
        <v>1493742.3</v>
      </c>
      <c r="N1012" s="8">
        <v>0</v>
      </c>
      <c r="P1012" s="8">
        <v>28835.54</v>
      </c>
    </row>
    <row r="1013" spans="2:16" x14ac:dyDescent="0.25">
      <c r="D1013" s="3" t="s">
        <v>61</v>
      </c>
      <c r="F1013" s="7">
        <v>50102120</v>
      </c>
      <c r="H1013" s="8">
        <v>25000</v>
      </c>
      <c r="J1013" s="8">
        <v>25000</v>
      </c>
      <c r="L1013" s="8">
        <v>15000</v>
      </c>
      <c r="N1013" s="8">
        <v>0</v>
      </c>
      <c r="P1013" s="8">
        <v>10000</v>
      </c>
    </row>
    <row r="1014" spans="2:16" x14ac:dyDescent="0.25">
      <c r="D1014" s="3" t="s">
        <v>77</v>
      </c>
      <c r="F1014" s="7">
        <v>50102130</v>
      </c>
      <c r="H1014" s="8">
        <v>596775.81999999995</v>
      </c>
      <c r="J1014" s="8">
        <v>596775.81999999995</v>
      </c>
      <c r="L1014" s="8">
        <v>516775.82</v>
      </c>
      <c r="N1014" s="8">
        <v>0</v>
      </c>
      <c r="P1014" s="8">
        <v>80000</v>
      </c>
    </row>
    <row r="1015" spans="2:16" x14ac:dyDescent="0.25">
      <c r="D1015" s="3" t="s">
        <v>12</v>
      </c>
      <c r="F1015" s="7">
        <v>50102140</v>
      </c>
      <c r="H1015" s="8">
        <v>1641358</v>
      </c>
      <c r="J1015" s="8">
        <v>1641358</v>
      </c>
      <c r="L1015" s="8">
        <v>1160722</v>
      </c>
      <c r="N1015" s="8">
        <v>0</v>
      </c>
      <c r="P1015" s="8">
        <v>480636</v>
      </c>
    </row>
    <row r="1016" spans="2:16" x14ac:dyDescent="0.25">
      <c r="D1016" s="3" t="s">
        <v>13</v>
      </c>
      <c r="F1016" s="7">
        <v>50102150</v>
      </c>
      <c r="H1016" s="8">
        <v>170000</v>
      </c>
      <c r="J1016" s="8">
        <v>170000</v>
      </c>
      <c r="L1016" s="8">
        <v>115000</v>
      </c>
      <c r="N1016" s="8">
        <v>0</v>
      </c>
      <c r="P1016" s="8">
        <v>55000</v>
      </c>
    </row>
    <row r="1017" spans="2:16" x14ac:dyDescent="0.25">
      <c r="D1017" s="3" t="s">
        <v>164</v>
      </c>
      <c r="F1017" s="7">
        <v>50103010</v>
      </c>
      <c r="H1017" s="8">
        <v>851591.6</v>
      </c>
      <c r="J1017" s="8">
        <v>851591.6</v>
      </c>
      <c r="L1017" s="8">
        <v>809509.21</v>
      </c>
      <c r="N1017" s="8">
        <v>0</v>
      </c>
      <c r="P1017" s="8">
        <v>42082.39</v>
      </c>
    </row>
    <row r="1018" spans="2:16" x14ac:dyDescent="0.25">
      <c r="D1018" s="3" t="s">
        <v>14</v>
      </c>
      <c r="F1018" s="7">
        <v>50103020</v>
      </c>
      <c r="H1018" s="8">
        <v>30100</v>
      </c>
      <c r="J1018" s="8">
        <v>30100</v>
      </c>
      <c r="L1018" s="8">
        <v>26800</v>
      </c>
      <c r="N1018" s="8">
        <v>0</v>
      </c>
      <c r="P1018" s="8">
        <v>3300</v>
      </c>
    </row>
    <row r="1019" spans="2:16" x14ac:dyDescent="0.25">
      <c r="D1019" s="3" t="s">
        <v>15</v>
      </c>
      <c r="F1019" s="7">
        <v>50103030</v>
      </c>
      <c r="H1019" s="8">
        <v>77950</v>
      </c>
      <c r="J1019" s="8">
        <v>77950</v>
      </c>
      <c r="L1019" s="8">
        <v>77950</v>
      </c>
      <c r="N1019" s="8">
        <v>0</v>
      </c>
      <c r="P1019" s="8">
        <v>0</v>
      </c>
    </row>
    <row r="1020" spans="2:16" x14ac:dyDescent="0.25">
      <c r="D1020" s="3" t="s">
        <v>165</v>
      </c>
      <c r="F1020" s="7">
        <v>50103040</v>
      </c>
      <c r="H1020" s="8">
        <v>30099.42</v>
      </c>
      <c r="J1020" s="8">
        <v>30099.42</v>
      </c>
      <c r="L1020" s="8">
        <v>26800</v>
      </c>
      <c r="N1020" s="8">
        <v>0</v>
      </c>
      <c r="P1020" s="8">
        <v>3299.42</v>
      </c>
    </row>
    <row r="1021" spans="2:16" x14ac:dyDescent="0.25">
      <c r="D1021" s="3" t="s">
        <v>16</v>
      </c>
      <c r="F1021" s="7">
        <v>50104990</v>
      </c>
      <c r="H1021" s="8">
        <v>170000</v>
      </c>
      <c r="J1021" s="8">
        <v>170000</v>
      </c>
      <c r="L1021" s="8">
        <v>115000</v>
      </c>
      <c r="N1021" s="8">
        <v>0</v>
      </c>
      <c r="P1021" s="8">
        <v>55000</v>
      </c>
    </row>
    <row r="1022" spans="2:16" x14ac:dyDescent="0.25">
      <c r="B1022" s="11" t="s">
        <v>166</v>
      </c>
      <c r="F1022" s="7">
        <v>200</v>
      </c>
      <c r="H1022" s="17">
        <f>SUM(H1023:H1037)</f>
        <v>125551884.00000001</v>
      </c>
      <c r="J1022" s="17">
        <f>SUM(J1023:J1037)</f>
        <v>125551884.00000001</v>
      </c>
      <c r="L1022" s="17">
        <f>SUM(L1023:L1037)</f>
        <v>122300512.19000001</v>
      </c>
      <c r="N1022" s="17">
        <f>SUM(N1023:N1037)</f>
        <v>0</v>
      </c>
      <c r="P1022" s="17">
        <f>SUM(P1023:P1037)</f>
        <v>3251371.8100000005</v>
      </c>
    </row>
    <row r="1023" spans="2:16" x14ac:dyDescent="0.25">
      <c r="D1023" s="3" t="s">
        <v>759</v>
      </c>
      <c r="F1023" s="7">
        <v>50203020</v>
      </c>
      <c r="H1023" s="8">
        <v>166500</v>
      </c>
      <c r="J1023" s="8">
        <v>166500</v>
      </c>
      <c r="L1023" s="8">
        <v>166500</v>
      </c>
      <c r="N1023" s="8">
        <v>0</v>
      </c>
      <c r="P1023" s="8">
        <v>0</v>
      </c>
    </row>
    <row r="1024" spans="2:16" x14ac:dyDescent="0.25">
      <c r="D1024" s="3" t="s">
        <v>98</v>
      </c>
      <c r="F1024" s="7">
        <v>50203050</v>
      </c>
      <c r="H1024" s="8">
        <v>4646718.05</v>
      </c>
      <c r="J1024" s="8">
        <v>4646718.05</v>
      </c>
      <c r="L1024" s="8">
        <v>4646268.95</v>
      </c>
      <c r="N1024" s="8">
        <v>0</v>
      </c>
      <c r="P1024" s="8">
        <v>449.1</v>
      </c>
    </row>
    <row r="1025" spans="3:16" x14ac:dyDescent="0.25">
      <c r="D1025" s="3" t="s">
        <v>93</v>
      </c>
      <c r="F1025" s="7">
        <v>50203070</v>
      </c>
      <c r="H1025" s="8">
        <v>15517948.25</v>
      </c>
      <c r="J1025" s="8">
        <v>15517948.25</v>
      </c>
      <c r="L1025" s="8">
        <f>11273998.25+2977200+1264916.35</f>
        <v>15516114.6</v>
      </c>
      <c r="N1025" s="8">
        <v>0</v>
      </c>
      <c r="P1025" s="8">
        <f>+J1025-L1025</f>
        <v>1833.6500000003725</v>
      </c>
    </row>
    <row r="1026" spans="3:16" x14ac:dyDescent="0.25">
      <c r="D1026" s="3" t="s">
        <v>300</v>
      </c>
      <c r="F1026" s="7">
        <v>50203080</v>
      </c>
      <c r="H1026" s="8">
        <v>29306799.850000001</v>
      </c>
      <c r="J1026" s="8">
        <v>29306799.850000001</v>
      </c>
      <c r="L1026" s="8">
        <f>24495327.85+2023600+37710</f>
        <v>26556637.850000001</v>
      </c>
      <c r="N1026" s="8">
        <v>0</v>
      </c>
      <c r="P1026" s="8">
        <f>+J1026-L1026</f>
        <v>2750162</v>
      </c>
    </row>
    <row r="1027" spans="3:16" x14ac:dyDescent="0.25">
      <c r="D1027" s="3" t="s">
        <v>20</v>
      </c>
      <c r="F1027" s="7">
        <v>50203090</v>
      </c>
      <c r="H1027" s="8">
        <v>2080000</v>
      </c>
      <c r="J1027" s="8">
        <v>2080000</v>
      </c>
      <c r="L1027" s="8">
        <v>2080000</v>
      </c>
      <c r="N1027" s="8">
        <v>0</v>
      </c>
      <c r="P1027" s="8">
        <v>0</v>
      </c>
    </row>
    <row r="1028" spans="3:16" x14ac:dyDescent="0.25">
      <c r="D1028" s="3" t="s">
        <v>763</v>
      </c>
      <c r="F1028" s="7">
        <v>50203990</v>
      </c>
      <c r="H1028" s="8">
        <v>220000</v>
      </c>
      <c r="J1028" s="8">
        <v>220000</v>
      </c>
      <c r="L1028" s="8">
        <v>210637</v>
      </c>
      <c r="N1028" s="8">
        <v>0</v>
      </c>
      <c r="P1028" s="8">
        <v>9363</v>
      </c>
    </row>
    <row r="1029" spans="3:16" x14ac:dyDescent="0.25">
      <c r="D1029" s="3" t="s">
        <v>63</v>
      </c>
      <c r="F1029" s="7">
        <v>50204020</v>
      </c>
      <c r="H1029" s="8">
        <v>5620000</v>
      </c>
      <c r="J1029" s="8">
        <v>5620000</v>
      </c>
      <c r="L1029" s="8">
        <v>5619241.4800000004</v>
      </c>
      <c r="N1029" s="8">
        <v>0</v>
      </c>
      <c r="P1029" s="8">
        <v>758.52</v>
      </c>
    </row>
    <row r="1030" spans="3:16" x14ac:dyDescent="0.25">
      <c r="D1030" s="3" t="s">
        <v>22</v>
      </c>
      <c r="F1030" s="7">
        <v>50205020</v>
      </c>
      <c r="H1030" s="8">
        <v>42000</v>
      </c>
      <c r="J1030" s="8">
        <v>42000</v>
      </c>
      <c r="L1030" s="8">
        <v>38500</v>
      </c>
      <c r="N1030" s="8">
        <v>0</v>
      </c>
      <c r="P1030" s="8">
        <v>3500</v>
      </c>
    </row>
    <row r="1031" spans="3:16" x14ac:dyDescent="0.25">
      <c r="D1031" s="3" t="s">
        <v>26</v>
      </c>
      <c r="F1031" s="7">
        <v>50212990</v>
      </c>
      <c r="H1031" s="8">
        <v>65125488.399999999</v>
      </c>
      <c r="J1031" s="8">
        <v>65125488.399999999</v>
      </c>
      <c r="L1031" s="8">
        <v>64641086.310000002</v>
      </c>
      <c r="N1031" s="8">
        <v>0</v>
      </c>
      <c r="P1031" s="8">
        <v>484402.09</v>
      </c>
    </row>
    <row r="1032" spans="3:16" x14ac:dyDescent="0.25">
      <c r="D1032" s="3" t="s">
        <v>317</v>
      </c>
      <c r="F1032" s="7">
        <v>50213040</v>
      </c>
      <c r="H1032" s="8">
        <v>1729646</v>
      </c>
      <c r="J1032" s="8">
        <v>1729646</v>
      </c>
      <c r="L1032" s="8">
        <v>1729646</v>
      </c>
      <c r="N1032" s="8">
        <v>0</v>
      </c>
      <c r="P1032" s="8">
        <v>0</v>
      </c>
    </row>
    <row r="1033" spans="3:16" x14ac:dyDescent="0.25">
      <c r="D1033" s="3" t="s">
        <v>27</v>
      </c>
      <c r="F1033" s="7">
        <v>50213050</v>
      </c>
      <c r="H1033" s="8">
        <v>797890.45</v>
      </c>
      <c r="J1033" s="8">
        <v>797890.45</v>
      </c>
      <c r="L1033" s="8">
        <v>796987</v>
      </c>
      <c r="N1033" s="8">
        <v>0</v>
      </c>
      <c r="P1033" s="8">
        <v>903.45</v>
      </c>
    </row>
    <row r="1034" spans="3:16" x14ac:dyDescent="0.25">
      <c r="D1034" s="3" t="s">
        <v>73</v>
      </c>
      <c r="F1034" s="7">
        <v>50216010</v>
      </c>
      <c r="H1034" s="8">
        <v>250000</v>
      </c>
      <c r="J1034" s="8">
        <v>250000</v>
      </c>
      <c r="L1034" s="8">
        <v>250000</v>
      </c>
      <c r="N1034" s="8">
        <v>0</v>
      </c>
      <c r="P1034" s="8">
        <v>0</v>
      </c>
    </row>
    <row r="1035" spans="3:16" x14ac:dyDescent="0.25">
      <c r="D1035" s="3" t="s">
        <v>761</v>
      </c>
      <c r="F1035" s="7">
        <v>50216020</v>
      </c>
      <c r="H1035" s="8">
        <v>45000</v>
      </c>
      <c r="J1035" s="8">
        <v>45000</v>
      </c>
      <c r="L1035" s="8">
        <v>45000</v>
      </c>
      <c r="N1035" s="8">
        <v>0</v>
      </c>
      <c r="P1035" s="8">
        <v>0</v>
      </c>
    </row>
    <row r="1036" spans="3:16" x14ac:dyDescent="0.25">
      <c r="D1036" s="3" t="s">
        <v>83</v>
      </c>
      <c r="F1036" s="7">
        <v>50299020</v>
      </c>
      <c r="H1036" s="8">
        <v>1653</v>
      </c>
      <c r="J1036" s="8">
        <v>1653</v>
      </c>
      <c r="L1036" s="8">
        <v>1653</v>
      </c>
      <c r="N1036" s="8">
        <v>0</v>
      </c>
      <c r="P1036" s="8">
        <v>0</v>
      </c>
    </row>
    <row r="1037" spans="3:16" x14ac:dyDescent="0.25">
      <c r="D1037" s="3" t="s">
        <v>174</v>
      </c>
      <c r="F1037" s="7">
        <v>50299060</v>
      </c>
      <c r="H1037" s="8">
        <v>2240</v>
      </c>
      <c r="J1037" s="8">
        <v>2240</v>
      </c>
      <c r="L1037" s="8">
        <v>2240</v>
      </c>
      <c r="N1037" s="8">
        <v>0</v>
      </c>
      <c r="P1037" s="8">
        <v>0</v>
      </c>
    </row>
    <row r="1039" spans="3:16" x14ac:dyDescent="0.25">
      <c r="C1039" s="11" t="s">
        <v>304</v>
      </c>
      <c r="H1039" s="17">
        <f>+H1022+H1004</f>
        <v>179460178.82000002</v>
      </c>
      <c r="I1039" s="8" t="s">
        <v>0</v>
      </c>
      <c r="J1039" s="17">
        <f>+J1022+J1004</f>
        <v>179460178.82000002</v>
      </c>
      <c r="K1039" s="8" t="s">
        <v>0</v>
      </c>
      <c r="L1039" s="17">
        <f>+L1022+L1004</f>
        <v>174878667.52000001</v>
      </c>
      <c r="M1039" s="8" t="s">
        <v>0</v>
      </c>
      <c r="N1039" s="17">
        <f>+N1022+N1004</f>
        <v>0</v>
      </c>
      <c r="O1039" s="8" t="s">
        <v>0</v>
      </c>
      <c r="P1039" s="17">
        <f>+P1022+P1004</f>
        <v>4581511.3000000007</v>
      </c>
    </row>
    <row r="1041" spans="2:16" x14ac:dyDescent="0.25">
      <c r="B1041" s="11" t="s">
        <v>305</v>
      </c>
      <c r="F1041" s="7" t="s">
        <v>306</v>
      </c>
    </row>
    <row r="1042" spans="2:16" x14ac:dyDescent="0.25">
      <c r="B1042" s="11" t="s">
        <v>160</v>
      </c>
      <c r="F1042" s="7">
        <v>100</v>
      </c>
      <c r="H1042" s="17">
        <f>SUM(H1043:H1060)</f>
        <v>41760104.000000007</v>
      </c>
      <c r="J1042" s="17">
        <f>SUM(J1043:J1060)</f>
        <v>41760104.000000007</v>
      </c>
      <c r="L1042" s="17">
        <f>SUM(L1043:L1060)</f>
        <v>40748936.769999996</v>
      </c>
      <c r="N1042" s="17">
        <f>SUM(N1043:N1060)</f>
        <v>0</v>
      </c>
      <c r="P1042" s="17">
        <f>SUM(P1043:P1060)</f>
        <v>1011167.23</v>
      </c>
    </row>
    <row r="1043" spans="2:16" x14ac:dyDescent="0.25">
      <c r="D1043" s="3" t="s">
        <v>8</v>
      </c>
      <c r="F1043" s="7">
        <v>50101010</v>
      </c>
      <c r="H1043" s="8">
        <v>9106947</v>
      </c>
      <c r="J1043" s="8">
        <v>9106947</v>
      </c>
      <c r="L1043" s="8">
        <v>9106947</v>
      </c>
      <c r="N1043" s="8">
        <v>0</v>
      </c>
      <c r="P1043" s="8">
        <v>0</v>
      </c>
    </row>
    <row r="1044" spans="2:16" x14ac:dyDescent="0.25">
      <c r="D1044" s="3" t="s">
        <v>9</v>
      </c>
      <c r="F1044" s="7">
        <v>50101020</v>
      </c>
      <c r="H1044" s="8">
        <v>24670025.260000002</v>
      </c>
      <c r="J1044" s="8">
        <v>24670025.260000002</v>
      </c>
      <c r="L1044" s="8">
        <v>24110260.789999999</v>
      </c>
      <c r="N1044" s="8">
        <v>0</v>
      </c>
      <c r="P1044" s="8">
        <v>559764.47</v>
      </c>
    </row>
    <row r="1045" spans="2:16" x14ac:dyDescent="0.25">
      <c r="D1045" s="3" t="s">
        <v>162</v>
      </c>
      <c r="F1045" s="7">
        <v>50102010</v>
      </c>
      <c r="H1045" s="8">
        <v>728000</v>
      </c>
      <c r="J1045" s="8">
        <v>728000</v>
      </c>
      <c r="L1045" s="8">
        <v>699181.82</v>
      </c>
      <c r="N1045" s="8">
        <v>0</v>
      </c>
      <c r="P1045" s="8">
        <v>28818.18</v>
      </c>
    </row>
    <row r="1046" spans="2:16" x14ac:dyDescent="0.25">
      <c r="D1046" s="3" t="s">
        <v>776</v>
      </c>
      <c r="F1046" s="7">
        <v>50102020</v>
      </c>
      <c r="H1046" s="8">
        <v>60000</v>
      </c>
      <c r="J1046" s="8">
        <v>60000</v>
      </c>
      <c r="L1046" s="8">
        <v>58750</v>
      </c>
      <c r="N1046" s="8">
        <v>0</v>
      </c>
      <c r="P1046" s="8">
        <v>1250</v>
      </c>
    </row>
    <row r="1047" spans="2:16" x14ac:dyDescent="0.25">
      <c r="D1047" s="3" t="s">
        <v>60</v>
      </c>
      <c r="F1047" s="7">
        <v>50102030</v>
      </c>
      <c r="H1047" s="8">
        <v>60000</v>
      </c>
      <c r="J1047" s="8">
        <v>60000</v>
      </c>
      <c r="L1047" s="8">
        <v>0</v>
      </c>
      <c r="N1047" s="8">
        <v>0</v>
      </c>
      <c r="P1047" s="8">
        <v>60000</v>
      </c>
    </row>
    <row r="1048" spans="2:16" x14ac:dyDescent="0.25">
      <c r="D1048" s="3" t="s">
        <v>11</v>
      </c>
      <c r="F1048" s="7">
        <v>50102040</v>
      </c>
      <c r="H1048" s="8">
        <v>170000</v>
      </c>
      <c r="J1048" s="8">
        <v>170000</v>
      </c>
      <c r="L1048" s="8">
        <v>145000</v>
      </c>
      <c r="N1048" s="8">
        <v>0</v>
      </c>
      <c r="P1048" s="8">
        <v>25000</v>
      </c>
    </row>
    <row r="1049" spans="2:16" x14ac:dyDescent="0.25">
      <c r="D1049" s="3" t="s">
        <v>88</v>
      </c>
      <c r="F1049" s="7">
        <v>50102050</v>
      </c>
      <c r="H1049" s="8">
        <v>550500</v>
      </c>
      <c r="J1049" s="8">
        <v>550500</v>
      </c>
      <c r="L1049" s="8">
        <v>355850</v>
      </c>
      <c r="N1049" s="8">
        <v>0</v>
      </c>
      <c r="P1049" s="8">
        <v>194650</v>
      </c>
    </row>
    <row r="1050" spans="2:16" x14ac:dyDescent="0.25">
      <c r="D1050" s="3" t="s">
        <v>89</v>
      </c>
      <c r="F1050" s="7">
        <v>50102060</v>
      </c>
      <c r="H1050" s="8">
        <v>55050</v>
      </c>
      <c r="J1050" s="8">
        <v>55050</v>
      </c>
      <c r="L1050" s="8">
        <v>45211.66</v>
      </c>
      <c r="N1050" s="8">
        <v>0</v>
      </c>
      <c r="P1050" s="8">
        <v>9838.34</v>
      </c>
    </row>
    <row r="1051" spans="2:16" x14ac:dyDescent="0.25">
      <c r="D1051" s="3" t="s">
        <v>90</v>
      </c>
      <c r="F1051" s="7">
        <v>50102110</v>
      </c>
      <c r="H1051" s="8">
        <v>1894670.33</v>
      </c>
      <c r="J1051" s="8">
        <v>1894670.33</v>
      </c>
      <c r="L1051" s="8">
        <v>1894670.33</v>
      </c>
      <c r="N1051" s="8">
        <v>0</v>
      </c>
      <c r="P1051" s="8">
        <v>0</v>
      </c>
    </row>
    <row r="1052" spans="2:16" x14ac:dyDescent="0.25">
      <c r="D1052" s="3" t="s">
        <v>61</v>
      </c>
      <c r="F1052" s="7">
        <v>50102120</v>
      </c>
      <c r="H1052" s="8">
        <v>35000</v>
      </c>
      <c r="J1052" s="8">
        <v>35000</v>
      </c>
      <c r="L1052" s="8">
        <v>35000</v>
      </c>
      <c r="N1052" s="8">
        <v>0</v>
      </c>
      <c r="P1052" s="8">
        <v>0</v>
      </c>
    </row>
    <row r="1053" spans="2:16" x14ac:dyDescent="0.25">
      <c r="D1053" s="3" t="s">
        <v>77</v>
      </c>
      <c r="F1053" s="7">
        <v>50102130</v>
      </c>
      <c r="H1053" s="8">
        <v>1169000</v>
      </c>
      <c r="J1053" s="8">
        <v>1169000</v>
      </c>
      <c r="L1053" s="8">
        <v>1168998.43</v>
      </c>
      <c r="N1053" s="8">
        <v>0</v>
      </c>
      <c r="P1053" s="8">
        <v>1.57</v>
      </c>
    </row>
    <row r="1054" spans="2:16" x14ac:dyDescent="0.25">
      <c r="D1054" s="3" t="s">
        <v>12</v>
      </c>
      <c r="F1054" s="7">
        <v>50102140</v>
      </c>
      <c r="H1054" s="8">
        <v>1658390</v>
      </c>
      <c r="J1054" s="8">
        <v>1658390</v>
      </c>
      <c r="L1054" s="8">
        <v>1579361</v>
      </c>
      <c r="N1054" s="8">
        <v>0</v>
      </c>
      <c r="P1054" s="8">
        <v>79029</v>
      </c>
    </row>
    <row r="1055" spans="2:16" x14ac:dyDescent="0.25">
      <c r="D1055" s="3" t="s">
        <v>13</v>
      </c>
      <c r="F1055" s="7">
        <v>50102150</v>
      </c>
      <c r="H1055" s="8">
        <v>170000</v>
      </c>
      <c r="J1055" s="8">
        <v>170000</v>
      </c>
      <c r="L1055" s="8">
        <v>145000</v>
      </c>
      <c r="N1055" s="8">
        <v>0</v>
      </c>
      <c r="P1055" s="8">
        <v>25000</v>
      </c>
    </row>
    <row r="1056" spans="2:16" x14ac:dyDescent="0.25">
      <c r="D1056" s="3" t="s">
        <v>164</v>
      </c>
      <c r="F1056" s="7">
        <v>50103010</v>
      </c>
      <c r="H1056" s="8">
        <v>1092834.2</v>
      </c>
      <c r="J1056" s="8">
        <v>1092834.2</v>
      </c>
      <c r="L1056" s="8">
        <v>1092834.2</v>
      </c>
      <c r="N1056" s="8">
        <v>0</v>
      </c>
      <c r="P1056" s="8">
        <v>0</v>
      </c>
    </row>
    <row r="1057" spans="2:16" x14ac:dyDescent="0.25">
      <c r="D1057" s="3" t="s">
        <v>14</v>
      </c>
      <c r="F1057" s="7">
        <v>50103020</v>
      </c>
      <c r="H1057" s="8">
        <v>36400</v>
      </c>
      <c r="J1057" s="8">
        <v>36400</v>
      </c>
      <c r="L1057" s="8">
        <v>35000</v>
      </c>
      <c r="N1057" s="8">
        <v>0</v>
      </c>
      <c r="P1057" s="8">
        <v>1400</v>
      </c>
    </row>
    <row r="1058" spans="2:16" x14ac:dyDescent="0.25">
      <c r="D1058" s="3" t="s">
        <v>15</v>
      </c>
      <c r="F1058" s="7">
        <v>50103030</v>
      </c>
      <c r="H1058" s="8">
        <v>96887.5</v>
      </c>
      <c r="J1058" s="8">
        <v>96887.5</v>
      </c>
      <c r="L1058" s="8">
        <v>96887.5</v>
      </c>
      <c r="N1058" s="8">
        <v>0</v>
      </c>
      <c r="P1058" s="8">
        <v>0</v>
      </c>
    </row>
    <row r="1059" spans="2:16" x14ac:dyDescent="0.25">
      <c r="D1059" s="3" t="s">
        <v>165</v>
      </c>
      <c r="F1059" s="7">
        <v>50103040</v>
      </c>
      <c r="H1059" s="8">
        <v>36399.71</v>
      </c>
      <c r="J1059" s="8">
        <v>36399.71</v>
      </c>
      <c r="L1059" s="8">
        <v>34984.04</v>
      </c>
      <c r="N1059" s="8">
        <v>0</v>
      </c>
      <c r="P1059" s="8">
        <v>1415.67</v>
      </c>
    </row>
    <row r="1060" spans="2:16" x14ac:dyDescent="0.25">
      <c r="D1060" s="3" t="s">
        <v>16</v>
      </c>
      <c r="F1060" s="7">
        <v>50104990</v>
      </c>
      <c r="H1060" s="8">
        <v>170000</v>
      </c>
      <c r="J1060" s="8">
        <v>170000</v>
      </c>
      <c r="L1060" s="8">
        <v>145000</v>
      </c>
      <c r="N1060" s="8">
        <v>0</v>
      </c>
      <c r="P1060" s="8">
        <v>25000</v>
      </c>
    </row>
    <row r="1061" spans="2:16" x14ac:dyDescent="0.25">
      <c r="B1061" s="11" t="s">
        <v>166</v>
      </c>
      <c r="F1061" s="7">
        <v>200</v>
      </c>
      <c r="H1061" s="17">
        <f>SUM(H1062:H1076)</f>
        <v>66028213</v>
      </c>
      <c r="J1061" s="17">
        <f>SUM(J1062:J1076)</f>
        <v>66028213</v>
      </c>
      <c r="L1061" s="17">
        <f>SUM(L1062:L1076)</f>
        <v>65187271.43</v>
      </c>
      <c r="N1061" s="17">
        <f>SUM(N1062:N1076)</f>
        <v>0</v>
      </c>
      <c r="P1061" s="17">
        <f>SUM(P1062:P1076)</f>
        <v>840941.5699999989</v>
      </c>
    </row>
    <row r="1062" spans="2:16" x14ac:dyDescent="0.25">
      <c r="D1062" s="3" t="s">
        <v>759</v>
      </c>
      <c r="F1062" s="7">
        <v>50203020</v>
      </c>
      <c r="H1062" s="8">
        <v>205000</v>
      </c>
      <c r="J1062" s="8">
        <v>205000</v>
      </c>
      <c r="L1062" s="8">
        <v>203500</v>
      </c>
      <c r="N1062" s="8">
        <v>0</v>
      </c>
      <c r="P1062" s="8">
        <v>1500</v>
      </c>
    </row>
    <row r="1063" spans="2:16" x14ac:dyDescent="0.25">
      <c r="D1063" s="3" t="s">
        <v>98</v>
      </c>
      <c r="F1063" s="7">
        <v>50203050</v>
      </c>
      <c r="H1063" s="8">
        <v>2500000</v>
      </c>
      <c r="J1063" s="8">
        <v>2500000</v>
      </c>
      <c r="L1063" s="8">
        <v>2486235.9</v>
      </c>
      <c r="N1063" s="8">
        <v>0</v>
      </c>
      <c r="P1063" s="8">
        <v>13764.1</v>
      </c>
    </row>
    <row r="1064" spans="2:16" x14ac:dyDescent="0.25">
      <c r="D1064" s="3" t="s">
        <v>93</v>
      </c>
      <c r="F1064" s="7">
        <v>50203070</v>
      </c>
      <c r="H1064" s="8">
        <v>10036044.65</v>
      </c>
      <c r="J1064" s="8">
        <v>10036044.65</v>
      </c>
      <c r="L1064" s="8">
        <f>6045462.15+484608+3399937.05</f>
        <v>9930007.1999999993</v>
      </c>
      <c r="N1064" s="8">
        <v>0</v>
      </c>
      <c r="P1064" s="8">
        <f>+J1064-L1064</f>
        <v>106037.45000000112</v>
      </c>
    </row>
    <row r="1065" spans="2:16" x14ac:dyDescent="0.25">
      <c r="D1065" s="3" t="s">
        <v>300</v>
      </c>
      <c r="F1065" s="7">
        <v>50203080</v>
      </c>
      <c r="H1065" s="8">
        <v>15610831.699999999</v>
      </c>
      <c r="J1065" s="8">
        <v>15610831.699999999</v>
      </c>
      <c r="L1065" s="8">
        <f>13766563.8+492274+691800.3</f>
        <v>14950638.100000001</v>
      </c>
      <c r="N1065" s="8">
        <v>0</v>
      </c>
      <c r="P1065" s="8">
        <f>+J1065-L1065</f>
        <v>660193.59999999776</v>
      </c>
    </row>
    <row r="1066" spans="2:16" x14ac:dyDescent="0.25">
      <c r="D1066" s="3" t="s">
        <v>20</v>
      </c>
      <c r="F1066" s="7">
        <v>50203090</v>
      </c>
      <c r="H1066" s="8">
        <v>350000</v>
      </c>
      <c r="J1066" s="8">
        <v>350000</v>
      </c>
      <c r="L1066" s="8">
        <v>325965.94</v>
      </c>
      <c r="N1066" s="8">
        <v>0</v>
      </c>
      <c r="P1066" s="8">
        <v>24034.06</v>
      </c>
    </row>
    <row r="1067" spans="2:16" x14ac:dyDescent="0.25">
      <c r="D1067" s="3" t="s">
        <v>763</v>
      </c>
      <c r="F1067" s="7">
        <v>50203990</v>
      </c>
      <c r="H1067" s="8">
        <v>95000</v>
      </c>
      <c r="J1067" s="8">
        <v>95000</v>
      </c>
      <c r="L1067" s="8">
        <v>77646</v>
      </c>
      <c r="N1067" s="8">
        <v>0</v>
      </c>
      <c r="P1067" s="8">
        <v>17354</v>
      </c>
    </row>
    <row r="1068" spans="2:16" x14ac:dyDescent="0.25">
      <c r="D1068" s="3" t="s">
        <v>63</v>
      </c>
      <c r="F1068" s="7">
        <v>50204020</v>
      </c>
      <c r="H1068" s="8">
        <v>2900000</v>
      </c>
      <c r="J1068" s="8">
        <v>2900000</v>
      </c>
      <c r="L1068" s="8">
        <v>2900000</v>
      </c>
      <c r="N1068" s="8">
        <v>0</v>
      </c>
      <c r="P1068" s="8">
        <v>0</v>
      </c>
    </row>
    <row r="1069" spans="2:16" x14ac:dyDescent="0.25">
      <c r="D1069" s="3" t="s">
        <v>22</v>
      </c>
      <c r="F1069" s="7">
        <v>50205020</v>
      </c>
      <c r="H1069" s="8">
        <v>42000</v>
      </c>
      <c r="J1069" s="8">
        <v>42000</v>
      </c>
      <c r="L1069" s="8">
        <v>42000</v>
      </c>
      <c r="N1069" s="8">
        <v>0</v>
      </c>
      <c r="P1069" s="8">
        <v>0</v>
      </c>
    </row>
    <row r="1070" spans="2:16" x14ac:dyDescent="0.25">
      <c r="D1070" s="3" t="s">
        <v>64</v>
      </c>
      <c r="F1070" s="7">
        <v>50205030</v>
      </c>
      <c r="H1070" s="8">
        <v>37000</v>
      </c>
      <c r="J1070" s="8">
        <v>37000</v>
      </c>
      <c r="L1070" s="8">
        <v>35577.49</v>
      </c>
      <c r="N1070" s="8">
        <v>0</v>
      </c>
      <c r="P1070" s="8">
        <v>1422.51</v>
      </c>
    </row>
    <row r="1071" spans="2:16" x14ac:dyDescent="0.25">
      <c r="D1071" s="3" t="s">
        <v>26</v>
      </c>
      <c r="F1071" s="7">
        <v>50212990</v>
      </c>
      <c r="H1071" s="8">
        <v>33791479.649999999</v>
      </c>
      <c r="J1071" s="8">
        <v>33791479.649999999</v>
      </c>
      <c r="L1071" s="8">
        <v>33786838.869999997</v>
      </c>
      <c r="N1071" s="8">
        <v>0</v>
      </c>
      <c r="P1071" s="8">
        <v>4640.78</v>
      </c>
    </row>
    <row r="1072" spans="2:16" x14ac:dyDescent="0.25">
      <c r="D1072" s="3" t="s">
        <v>317</v>
      </c>
      <c r="F1072" s="7">
        <v>50213040</v>
      </c>
      <c r="H1072" s="8">
        <v>103309</v>
      </c>
      <c r="J1072" s="8">
        <v>103309</v>
      </c>
      <c r="L1072" s="8">
        <v>103309</v>
      </c>
      <c r="N1072" s="8">
        <v>0</v>
      </c>
      <c r="P1072" s="8">
        <v>0</v>
      </c>
    </row>
    <row r="1073" spans="2:16" x14ac:dyDescent="0.25">
      <c r="D1073" s="3" t="s">
        <v>27</v>
      </c>
      <c r="F1073" s="7">
        <v>50213050</v>
      </c>
      <c r="H1073" s="8">
        <v>299548</v>
      </c>
      <c r="J1073" s="8">
        <v>299548</v>
      </c>
      <c r="L1073" s="8">
        <v>298948</v>
      </c>
      <c r="N1073" s="8">
        <v>0</v>
      </c>
      <c r="P1073" s="8">
        <v>600</v>
      </c>
    </row>
    <row r="1074" spans="2:16" x14ac:dyDescent="0.25">
      <c r="D1074" s="3" t="s">
        <v>73</v>
      </c>
      <c r="F1074" s="7">
        <v>50216010</v>
      </c>
      <c r="H1074" s="8">
        <v>30000</v>
      </c>
      <c r="J1074" s="8">
        <v>30000</v>
      </c>
      <c r="L1074" s="8">
        <v>25194.93</v>
      </c>
      <c r="N1074" s="8">
        <v>0</v>
      </c>
      <c r="P1074" s="8">
        <v>4805.07</v>
      </c>
    </row>
    <row r="1075" spans="2:16" x14ac:dyDescent="0.25">
      <c r="D1075" s="3" t="s">
        <v>761</v>
      </c>
      <c r="F1075" s="7">
        <v>50216020</v>
      </c>
      <c r="H1075" s="8">
        <v>25000</v>
      </c>
      <c r="J1075" s="8">
        <v>25000</v>
      </c>
      <c r="L1075" s="8">
        <v>19170</v>
      </c>
      <c r="N1075" s="8">
        <v>0</v>
      </c>
      <c r="P1075" s="8">
        <v>5830</v>
      </c>
    </row>
    <row r="1076" spans="2:16" x14ac:dyDescent="0.25">
      <c r="D1076" s="3" t="s">
        <v>174</v>
      </c>
      <c r="F1076" s="7">
        <v>50299060</v>
      </c>
      <c r="H1076" s="8">
        <v>3000</v>
      </c>
      <c r="J1076" s="8">
        <v>3000</v>
      </c>
      <c r="L1076" s="8">
        <v>2240</v>
      </c>
      <c r="N1076" s="8">
        <v>0</v>
      </c>
      <c r="P1076" s="8">
        <v>760</v>
      </c>
    </row>
    <row r="1078" spans="2:16" x14ac:dyDescent="0.25">
      <c r="C1078" s="11" t="s">
        <v>307</v>
      </c>
      <c r="H1078" s="17">
        <f>+H1061+H1042</f>
        <v>107788317</v>
      </c>
      <c r="I1078" s="8" t="s">
        <v>0</v>
      </c>
      <c r="J1078" s="17">
        <f>+J1061+J1042</f>
        <v>107788317</v>
      </c>
      <c r="K1078" s="8" t="s">
        <v>0</v>
      </c>
      <c r="L1078" s="17">
        <f>+L1061+L1042</f>
        <v>105936208.19999999</v>
      </c>
      <c r="M1078" s="8" t="s">
        <v>0</v>
      </c>
      <c r="N1078" s="17">
        <f>+N1061+N1042</f>
        <v>0</v>
      </c>
      <c r="O1078" s="8" t="s">
        <v>0</v>
      </c>
      <c r="P1078" s="17">
        <f>+P1061+P1042</f>
        <v>1852108.7999999989</v>
      </c>
    </row>
    <row r="1080" spans="2:16" x14ac:dyDescent="0.25">
      <c r="B1080" s="11" t="s">
        <v>308</v>
      </c>
      <c r="F1080" s="7" t="s">
        <v>309</v>
      </c>
    </row>
    <row r="1081" spans="2:16" x14ac:dyDescent="0.25">
      <c r="B1081" s="11" t="s">
        <v>160</v>
      </c>
      <c r="F1081" s="7">
        <v>100</v>
      </c>
      <c r="H1081" s="17">
        <f>SUM(H1082:H1099)</f>
        <v>23336496</v>
      </c>
      <c r="J1081" s="17">
        <f>SUM(J1082:J1099)</f>
        <v>23336496</v>
      </c>
      <c r="L1081" s="17">
        <f>SUM(L1082:L1099)</f>
        <v>22708452.150000002</v>
      </c>
      <c r="N1081" s="17">
        <f>SUM(N1082:N1099)</f>
        <v>0</v>
      </c>
      <c r="P1081" s="17">
        <f>SUM(P1082:P1099)</f>
        <v>628043.85000000009</v>
      </c>
    </row>
    <row r="1082" spans="2:16" x14ac:dyDescent="0.25">
      <c r="D1082" s="3" t="s">
        <v>8</v>
      </c>
      <c r="F1082" s="7">
        <v>50101010</v>
      </c>
      <c r="H1082" s="8">
        <v>4847814</v>
      </c>
      <c r="J1082" s="8">
        <v>4847814</v>
      </c>
      <c r="L1082" s="8">
        <v>4829773.1900000004</v>
      </c>
      <c r="N1082" s="8">
        <v>0</v>
      </c>
      <c r="P1082" s="8">
        <v>18040.810000000001</v>
      </c>
    </row>
    <row r="1083" spans="2:16" x14ac:dyDescent="0.25">
      <c r="D1083" s="3" t="s">
        <v>9</v>
      </c>
      <c r="F1083" s="7">
        <v>50101020</v>
      </c>
      <c r="H1083" s="8">
        <v>14526256.16</v>
      </c>
      <c r="J1083" s="8">
        <v>14526256.16</v>
      </c>
      <c r="L1083" s="8">
        <v>14502454.449999999</v>
      </c>
      <c r="N1083" s="8">
        <v>0</v>
      </c>
      <c r="P1083" s="8">
        <v>23801.71</v>
      </c>
    </row>
    <row r="1084" spans="2:16" x14ac:dyDescent="0.25">
      <c r="D1084" s="3" t="s">
        <v>162</v>
      </c>
      <c r="F1084" s="7">
        <v>50102010</v>
      </c>
      <c r="H1084" s="8">
        <v>438000</v>
      </c>
      <c r="J1084" s="8">
        <v>438000</v>
      </c>
      <c r="L1084" s="8">
        <v>399935.48</v>
      </c>
      <c r="N1084" s="8">
        <v>0</v>
      </c>
      <c r="P1084" s="8">
        <v>38064.519999999997</v>
      </c>
    </row>
    <row r="1085" spans="2:16" x14ac:dyDescent="0.25">
      <c r="D1085" s="3" t="s">
        <v>776</v>
      </c>
      <c r="F1085" s="7">
        <v>50102020</v>
      </c>
      <c r="H1085" s="8">
        <v>60000</v>
      </c>
      <c r="J1085" s="8">
        <v>60000</v>
      </c>
      <c r="L1085" s="8">
        <v>60000</v>
      </c>
      <c r="N1085" s="8">
        <v>0</v>
      </c>
      <c r="P1085" s="8">
        <v>0</v>
      </c>
    </row>
    <row r="1086" spans="2:16" x14ac:dyDescent="0.25">
      <c r="D1086" s="3" t="s">
        <v>60</v>
      </c>
      <c r="F1086" s="7">
        <v>50102030</v>
      </c>
      <c r="H1086" s="8">
        <v>60000</v>
      </c>
      <c r="J1086" s="8">
        <v>60000</v>
      </c>
      <c r="L1086" s="8">
        <v>0</v>
      </c>
      <c r="N1086" s="8">
        <v>0</v>
      </c>
      <c r="P1086" s="8">
        <v>60000</v>
      </c>
    </row>
    <row r="1087" spans="2:16" x14ac:dyDescent="0.25">
      <c r="D1087" s="3" t="s">
        <v>11</v>
      </c>
      <c r="F1087" s="7">
        <v>50102040</v>
      </c>
      <c r="H1087" s="8">
        <v>115000</v>
      </c>
      <c r="J1087" s="8">
        <v>115000</v>
      </c>
      <c r="L1087" s="8">
        <v>80000</v>
      </c>
      <c r="N1087" s="8">
        <v>0</v>
      </c>
      <c r="P1087" s="8">
        <v>35000</v>
      </c>
    </row>
    <row r="1088" spans="2:16" x14ac:dyDescent="0.25">
      <c r="D1088" s="3" t="s">
        <v>88</v>
      </c>
      <c r="F1088" s="7">
        <v>50102050</v>
      </c>
      <c r="H1088" s="8">
        <v>328500</v>
      </c>
      <c r="J1088" s="8">
        <v>328500</v>
      </c>
      <c r="L1088" s="8">
        <v>168650</v>
      </c>
      <c r="N1088" s="8">
        <v>0</v>
      </c>
      <c r="P1088" s="8">
        <v>159850</v>
      </c>
    </row>
    <row r="1089" spans="2:16" x14ac:dyDescent="0.25">
      <c r="D1089" s="3" t="s">
        <v>89</v>
      </c>
      <c r="F1089" s="7">
        <v>50102060</v>
      </c>
      <c r="H1089" s="8">
        <v>32850</v>
      </c>
      <c r="J1089" s="8">
        <v>32850</v>
      </c>
      <c r="L1089" s="8">
        <v>21197.91</v>
      </c>
      <c r="N1089" s="8">
        <v>0</v>
      </c>
      <c r="P1089" s="8">
        <v>11652.09</v>
      </c>
    </row>
    <row r="1090" spans="2:16" x14ac:dyDescent="0.25">
      <c r="D1090" s="3" t="s">
        <v>90</v>
      </c>
      <c r="F1090" s="7">
        <v>50102110</v>
      </c>
      <c r="H1090" s="8">
        <v>1016078.05</v>
      </c>
      <c r="J1090" s="8">
        <v>1016078.05</v>
      </c>
      <c r="L1090" s="8">
        <v>965305.66</v>
      </c>
      <c r="N1090" s="8">
        <v>0</v>
      </c>
      <c r="P1090" s="8">
        <v>50772.39</v>
      </c>
    </row>
    <row r="1091" spans="2:16" x14ac:dyDescent="0.25">
      <c r="D1091" s="3" t="s">
        <v>61</v>
      </c>
      <c r="F1091" s="7">
        <v>50102120</v>
      </c>
      <c r="H1091" s="8">
        <v>10000</v>
      </c>
      <c r="J1091" s="8">
        <v>10000</v>
      </c>
      <c r="L1091" s="8">
        <v>5000</v>
      </c>
      <c r="N1091" s="8">
        <v>0</v>
      </c>
      <c r="P1091" s="8">
        <v>5000</v>
      </c>
    </row>
    <row r="1092" spans="2:16" x14ac:dyDescent="0.25">
      <c r="D1092" s="3" t="s">
        <v>77</v>
      </c>
      <c r="F1092" s="7">
        <v>50102130</v>
      </c>
      <c r="H1092" s="8">
        <v>18000</v>
      </c>
      <c r="J1092" s="8">
        <v>18000</v>
      </c>
      <c r="L1092" s="8">
        <v>17999.169999999998</v>
      </c>
      <c r="N1092" s="8">
        <v>0</v>
      </c>
      <c r="P1092" s="8">
        <v>0.83</v>
      </c>
    </row>
    <row r="1093" spans="2:16" x14ac:dyDescent="0.25">
      <c r="D1093" s="3" t="s">
        <v>12</v>
      </c>
      <c r="F1093" s="7">
        <v>50102140</v>
      </c>
      <c r="H1093" s="8">
        <v>975748</v>
      </c>
      <c r="J1093" s="8">
        <v>975748</v>
      </c>
      <c r="L1093" s="8">
        <v>816051</v>
      </c>
      <c r="N1093" s="8">
        <v>0</v>
      </c>
      <c r="P1093" s="8">
        <v>159697</v>
      </c>
    </row>
    <row r="1094" spans="2:16" x14ac:dyDescent="0.25">
      <c r="D1094" s="3" t="s">
        <v>13</v>
      </c>
      <c r="F1094" s="7">
        <v>50102150</v>
      </c>
      <c r="H1094" s="8">
        <v>115000</v>
      </c>
      <c r="J1094" s="8">
        <v>115000</v>
      </c>
      <c r="L1094" s="8">
        <v>85000</v>
      </c>
      <c r="N1094" s="8">
        <v>0</v>
      </c>
      <c r="P1094" s="8">
        <v>30000</v>
      </c>
    </row>
    <row r="1095" spans="2:16" x14ac:dyDescent="0.25">
      <c r="D1095" s="3" t="s">
        <v>164</v>
      </c>
      <c r="F1095" s="7">
        <v>50103010</v>
      </c>
      <c r="H1095" s="8">
        <v>581738.16</v>
      </c>
      <c r="J1095" s="8">
        <v>581738.16</v>
      </c>
      <c r="L1095" s="8">
        <v>579572.79</v>
      </c>
      <c r="N1095" s="8">
        <v>0</v>
      </c>
      <c r="P1095" s="8">
        <v>2165.37</v>
      </c>
    </row>
    <row r="1096" spans="2:16" x14ac:dyDescent="0.25">
      <c r="D1096" s="3" t="s">
        <v>14</v>
      </c>
      <c r="F1096" s="7">
        <v>50103020</v>
      </c>
      <c r="H1096" s="8">
        <v>21900</v>
      </c>
      <c r="J1096" s="8">
        <v>21900</v>
      </c>
      <c r="L1096" s="8">
        <v>19900</v>
      </c>
      <c r="N1096" s="8">
        <v>0</v>
      </c>
      <c r="P1096" s="8">
        <v>2000</v>
      </c>
    </row>
    <row r="1097" spans="2:16" x14ac:dyDescent="0.25">
      <c r="D1097" s="3" t="s">
        <v>15</v>
      </c>
      <c r="F1097" s="7">
        <v>50103030</v>
      </c>
      <c r="H1097" s="8">
        <v>52712.5</v>
      </c>
      <c r="J1097" s="8">
        <v>52712.5</v>
      </c>
      <c r="L1097" s="8">
        <v>52712.5</v>
      </c>
      <c r="N1097" s="8">
        <v>0</v>
      </c>
      <c r="P1097" s="8">
        <v>0</v>
      </c>
    </row>
    <row r="1098" spans="2:16" x14ac:dyDescent="0.25">
      <c r="D1098" s="3" t="s">
        <v>165</v>
      </c>
      <c r="F1098" s="7">
        <v>50103040</v>
      </c>
      <c r="H1098" s="8">
        <v>21899.13</v>
      </c>
      <c r="J1098" s="8">
        <v>21899.13</v>
      </c>
      <c r="L1098" s="8">
        <v>19900</v>
      </c>
      <c r="N1098" s="8">
        <v>0</v>
      </c>
      <c r="P1098" s="8">
        <v>1999.13</v>
      </c>
    </row>
    <row r="1099" spans="2:16" x14ac:dyDescent="0.25">
      <c r="D1099" s="3" t="s">
        <v>16</v>
      </c>
      <c r="F1099" s="7">
        <v>50104990</v>
      </c>
      <c r="H1099" s="8">
        <v>115000</v>
      </c>
      <c r="J1099" s="8">
        <v>115000</v>
      </c>
      <c r="L1099" s="8">
        <v>85000</v>
      </c>
      <c r="N1099" s="8">
        <v>0</v>
      </c>
      <c r="P1099" s="8">
        <v>30000</v>
      </c>
    </row>
    <row r="1100" spans="2:16" x14ac:dyDescent="0.25">
      <c r="B1100" s="11" t="s">
        <v>166</v>
      </c>
      <c r="F1100" s="7">
        <v>200</v>
      </c>
      <c r="H1100" s="17">
        <f>SUM(H1101:H1117)</f>
        <v>31244077</v>
      </c>
      <c r="J1100" s="17">
        <f>SUM(J1101:J1117)</f>
        <v>31244077</v>
      </c>
      <c r="L1100" s="17">
        <f>SUM(L1101:L1117)</f>
        <v>30389850.030000001</v>
      </c>
      <c r="N1100" s="17">
        <f>SUM(N1101:N1117)</f>
        <v>0</v>
      </c>
      <c r="P1100" s="17">
        <f>SUM(P1101:P1117)</f>
        <v>854226.97000000032</v>
      </c>
    </row>
    <row r="1101" spans="2:16" x14ac:dyDescent="0.25">
      <c r="D1101" s="3" t="s">
        <v>759</v>
      </c>
      <c r="F1101" s="7">
        <v>50203020</v>
      </c>
      <c r="H1101" s="8">
        <v>100000</v>
      </c>
      <c r="J1101" s="8">
        <v>100000</v>
      </c>
      <c r="L1101" s="8">
        <v>92500</v>
      </c>
      <c r="N1101" s="8">
        <v>0</v>
      </c>
      <c r="P1101" s="8">
        <v>7500</v>
      </c>
    </row>
    <row r="1102" spans="2:16" x14ac:dyDescent="0.25">
      <c r="D1102" s="3" t="s">
        <v>98</v>
      </c>
      <c r="F1102" s="7">
        <v>50203050</v>
      </c>
      <c r="H1102" s="8">
        <v>964000</v>
      </c>
      <c r="J1102" s="8">
        <v>964000</v>
      </c>
      <c r="L1102" s="8">
        <v>963524.88</v>
      </c>
      <c r="N1102" s="8">
        <v>0</v>
      </c>
      <c r="P1102" s="8">
        <v>475.12</v>
      </c>
    </row>
    <row r="1103" spans="2:16" x14ac:dyDescent="0.25">
      <c r="D1103" s="3" t="s">
        <v>93</v>
      </c>
      <c r="F1103" s="7">
        <v>50203070</v>
      </c>
      <c r="H1103" s="8">
        <v>4903000</v>
      </c>
      <c r="J1103" s="8">
        <v>4903000</v>
      </c>
      <c r="L1103" s="8">
        <f>3661231.35+1087572+152961.75</f>
        <v>4901765.0999999996</v>
      </c>
      <c r="N1103" s="8">
        <v>0</v>
      </c>
      <c r="P1103" s="8">
        <f>+J1103-L1103</f>
        <v>1234.9000000003725</v>
      </c>
    </row>
    <row r="1104" spans="2:16" x14ac:dyDescent="0.25">
      <c r="D1104" s="3" t="s">
        <v>300</v>
      </c>
      <c r="F1104" s="7">
        <v>50203080</v>
      </c>
      <c r="H1104" s="8">
        <v>6617480</v>
      </c>
      <c r="J1104" s="8">
        <v>6617480</v>
      </c>
      <c r="L1104" s="8">
        <f>6537361.29+77150</f>
        <v>6614511.29</v>
      </c>
      <c r="N1104" s="8">
        <v>0</v>
      </c>
      <c r="P1104" s="8">
        <f>+J1104-L1104</f>
        <v>2968.7099999999627</v>
      </c>
    </row>
    <row r="1105" spans="2:16" x14ac:dyDescent="0.25">
      <c r="D1105" s="3" t="s">
        <v>20</v>
      </c>
      <c r="F1105" s="7">
        <v>50203090</v>
      </c>
      <c r="H1105" s="8">
        <v>360000</v>
      </c>
      <c r="J1105" s="8">
        <v>360000</v>
      </c>
      <c r="L1105" s="8">
        <v>359960.03</v>
      </c>
      <c r="N1105" s="8">
        <v>0</v>
      </c>
      <c r="P1105" s="8">
        <v>39.97</v>
      </c>
    </row>
    <row r="1106" spans="2:16" x14ac:dyDescent="0.25">
      <c r="D1106" s="3" t="s">
        <v>763</v>
      </c>
      <c r="F1106" s="7">
        <v>50203990</v>
      </c>
      <c r="H1106" s="8">
        <v>45000</v>
      </c>
      <c r="J1106" s="8">
        <v>45000</v>
      </c>
      <c r="L1106" s="8">
        <v>42283</v>
      </c>
      <c r="N1106" s="8">
        <v>0</v>
      </c>
      <c r="P1106" s="8">
        <v>2717</v>
      </c>
    </row>
    <row r="1107" spans="2:16" x14ac:dyDescent="0.25">
      <c r="D1107" s="3" t="s">
        <v>21</v>
      </c>
      <c r="F1107" s="7">
        <v>50204010</v>
      </c>
      <c r="H1107" s="8">
        <v>10000</v>
      </c>
      <c r="J1107" s="8">
        <v>10000</v>
      </c>
      <c r="L1107" s="8">
        <v>430</v>
      </c>
      <c r="N1107" s="8">
        <v>0</v>
      </c>
      <c r="P1107" s="8">
        <v>9570</v>
      </c>
    </row>
    <row r="1108" spans="2:16" x14ac:dyDescent="0.25">
      <c r="D1108" s="3" t="s">
        <v>63</v>
      </c>
      <c r="F1108" s="7">
        <v>50204020</v>
      </c>
      <c r="H1108" s="8">
        <v>1300000</v>
      </c>
      <c r="J1108" s="8">
        <v>1300000</v>
      </c>
      <c r="L1108" s="8">
        <v>1289429.17</v>
      </c>
      <c r="N1108" s="8">
        <v>0</v>
      </c>
      <c r="P1108" s="8">
        <v>10570.83</v>
      </c>
    </row>
    <row r="1109" spans="2:16" x14ac:dyDescent="0.25">
      <c r="D1109" s="3" t="s">
        <v>22</v>
      </c>
      <c r="F1109" s="7">
        <v>50205020</v>
      </c>
      <c r="H1109" s="8">
        <v>42000</v>
      </c>
      <c r="J1109" s="8">
        <v>42000</v>
      </c>
      <c r="L1109" s="8">
        <v>42000</v>
      </c>
      <c r="N1109" s="8">
        <v>0</v>
      </c>
      <c r="P1109" s="8">
        <v>0</v>
      </c>
    </row>
    <row r="1110" spans="2:16" x14ac:dyDescent="0.25">
      <c r="D1110" s="3" t="s">
        <v>64</v>
      </c>
      <c r="F1110" s="7">
        <v>50205030</v>
      </c>
      <c r="H1110" s="8">
        <v>22000</v>
      </c>
      <c r="J1110" s="8">
        <v>22000</v>
      </c>
      <c r="L1110" s="8">
        <v>0</v>
      </c>
      <c r="N1110" s="8">
        <v>0</v>
      </c>
      <c r="P1110" s="8">
        <v>22000</v>
      </c>
    </row>
    <row r="1111" spans="2:16" x14ac:dyDescent="0.25">
      <c r="D1111" s="3" t="s">
        <v>26</v>
      </c>
      <c r="F1111" s="7">
        <v>50212990</v>
      </c>
      <c r="H1111" s="8">
        <v>16797597</v>
      </c>
      <c r="J1111" s="8">
        <v>16797597</v>
      </c>
      <c r="L1111" s="8">
        <v>16005052.060000001</v>
      </c>
      <c r="N1111" s="8">
        <v>0</v>
      </c>
      <c r="P1111" s="8">
        <v>792544.94</v>
      </c>
    </row>
    <row r="1112" spans="2:16" x14ac:dyDescent="0.25">
      <c r="D1112" s="3" t="s">
        <v>317</v>
      </c>
      <c r="F1112" s="7">
        <v>50213040</v>
      </c>
      <c r="H1112" s="8">
        <v>15000</v>
      </c>
      <c r="J1112" s="8">
        <v>15000</v>
      </c>
      <c r="L1112" s="8">
        <v>15000</v>
      </c>
      <c r="N1112" s="8">
        <v>0</v>
      </c>
      <c r="P1112" s="8">
        <v>0</v>
      </c>
    </row>
    <row r="1113" spans="2:16" x14ac:dyDescent="0.25">
      <c r="D1113" s="3" t="s">
        <v>27</v>
      </c>
      <c r="F1113" s="7">
        <v>50213050</v>
      </c>
      <c r="H1113" s="8">
        <v>25000</v>
      </c>
      <c r="J1113" s="8">
        <v>25000</v>
      </c>
      <c r="L1113" s="8">
        <v>25000</v>
      </c>
      <c r="N1113" s="8">
        <v>0</v>
      </c>
      <c r="P1113" s="8">
        <v>0</v>
      </c>
    </row>
    <row r="1114" spans="2:16" x14ac:dyDescent="0.25">
      <c r="D1114" s="3" t="s">
        <v>73</v>
      </c>
      <c r="F1114" s="7">
        <v>50216010</v>
      </c>
      <c r="H1114" s="8">
        <v>20000</v>
      </c>
      <c r="J1114" s="8">
        <v>20000</v>
      </c>
      <c r="L1114" s="8">
        <v>20000</v>
      </c>
      <c r="N1114" s="8">
        <v>0</v>
      </c>
      <c r="P1114" s="8">
        <v>0</v>
      </c>
    </row>
    <row r="1115" spans="2:16" x14ac:dyDescent="0.25">
      <c r="D1115" s="3" t="s">
        <v>761</v>
      </c>
      <c r="F1115" s="7">
        <v>50216020</v>
      </c>
      <c r="H1115" s="8">
        <v>15000</v>
      </c>
      <c r="J1115" s="8">
        <v>15000</v>
      </c>
      <c r="L1115" s="8">
        <v>14550</v>
      </c>
      <c r="N1115" s="8">
        <v>0</v>
      </c>
      <c r="P1115" s="8">
        <v>450</v>
      </c>
    </row>
    <row r="1116" spans="2:16" x14ac:dyDescent="0.25">
      <c r="D1116" s="3" t="s">
        <v>83</v>
      </c>
      <c r="F1116" s="7">
        <v>50299020</v>
      </c>
      <c r="H1116" s="8">
        <v>5000</v>
      </c>
      <c r="J1116" s="8">
        <v>5000</v>
      </c>
      <c r="L1116" s="8">
        <v>3844.5</v>
      </c>
      <c r="N1116" s="8">
        <v>0</v>
      </c>
      <c r="P1116" s="8">
        <v>1155.5</v>
      </c>
    </row>
    <row r="1117" spans="2:16" x14ac:dyDescent="0.25">
      <c r="D1117" s="3" t="s">
        <v>174</v>
      </c>
      <c r="F1117" s="7">
        <v>50299060</v>
      </c>
      <c r="H1117" s="8">
        <v>3000</v>
      </c>
      <c r="J1117" s="8">
        <v>3000</v>
      </c>
      <c r="L1117" s="8">
        <v>0</v>
      </c>
      <c r="N1117" s="8">
        <v>0</v>
      </c>
      <c r="P1117" s="8">
        <v>3000</v>
      </c>
    </row>
    <row r="1119" spans="2:16" x14ac:dyDescent="0.25">
      <c r="B1119" s="11" t="s">
        <v>208</v>
      </c>
      <c r="F1119" s="7">
        <v>300</v>
      </c>
    </row>
    <row r="1120" spans="2:16" x14ac:dyDescent="0.25">
      <c r="D1120" s="3" t="s">
        <v>100</v>
      </c>
      <c r="F1120" s="7">
        <v>10705110</v>
      </c>
      <c r="H1120" s="17">
        <v>100000</v>
      </c>
      <c r="J1120" s="17">
        <v>100000</v>
      </c>
      <c r="L1120" s="17">
        <v>0</v>
      </c>
      <c r="N1120" s="17">
        <v>0</v>
      </c>
      <c r="P1120" s="17">
        <v>100000</v>
      </c>
    </row>
    <row r="1122" spans="2:16" x14ac:dyDescent="0.25">
      <c r="C1122" s="11" t="s">
        <v>310</v>
      </c>
      <c r="H1122" s="17">
        <f>+H1120+H1100+H1081</f>
        <v>54680573</v>
      </c>
      <c r="I1122" s="8" t="s">
        <v>0</v>
      </c>
      <c r="J1122" s="17">
        <f>+J1120+J1100+J1081</f>
        <v>54680573</v>
      </c>
      <c r="K1122" s="8" t="s">
        <v>0</v>
      </c>
      <c r="L1122" s="17">
        <f>+L1120+L1100+L1081</f>
        <v>53098302.180000007</v>
      </c>
      <c r="M1122" s="8" t="s">
        <v>0</v>
      </c>
      <c r="N1122" s="17">
        <f>+N1120+N1100+N1081</f>
        <v>0</v>
      </c>
      <c r="O1122" s="8" t="s">
        <v>0</v>
      </c>
      <c r="P1122" s="17">
        <f>+P1120+P1100+P1081</f>
        <v>1582270.8200000003</v>
      </c>
    </row>
    <row r="1124" spans="2:16" x14ac:dyDescent="0.25">
      <c r="B1124" s="11" t="s">
        <v>311</v>
      </c>
      <c r="F1124" s="7" t="s">
        <v>312</v>
      </c>
    </row>
    <row r="1125" spans="2:16" x14ac:dyDescent="0.25">
      <c r="B1125" s="11" t="s">
        <v>160</v>
      </c>
      <c r="F1125" s="7">
        <v>100</v>
      </c>
      <c r="H1125" s="17">
        <f>SUM(H1126:H1141)</f>
        <v>20794842.000000004</v>
      </c>
      <c r="J1125" s="17">
        <f>SUM(J1126:J1141)</f>
        <v>20794842.000000004</v>
      </c>
      <c r="L1125" s="17">
        <f>SUM(L1126:L1141)</f>
        <v>19911644.66</v>
      </c>
      <c r="N1125" s="17">
        <f>SUM(N1126:N1141)</f>
        <v>0</v>
      </c>
      <c r="P1125" s="17">
        <f>SUM(P1126:P1141)</f>
        <v>883197.34</v>
      </c>
    </row>
    <row r="1126" spans="2:16" x14ac:dyDescent="0.25">
      <c r="D1126" s="3" t="s">
        <v>8</v>
      </c>
      <c r="F1126" s="7">
        <v>50101010</v>
      </c>
      <c r="H1126" s="8">
        <v>4511437</v>
      </c>
      <c r="J1126" s="8">
        <v>4511437</v>
      </c>
      <c r="L1126" s="8">
        <v>4358281.99</v>
      </c>
      <c r="N1126" s="8">
        <v>0</v>
      </c>
      <c r="P1126" s="8">
        <v>153155.01</v>
      </c>
    </row>
    <row r="1127" spans="2:16" x14ac:dyDescent="0.25">
      <c r="D1127" s="3" t="s">
        <v>9</v>
      </c>
      <c r="F1127" s="7">
        <v>50101020</v>
      </c>
      <c r="H1127" s="8">
        <v>12419295.48</v>
      </c>
      <c r="J1127" s="8">
        <v>12419295.48</v>
      </c>
      <c r="L1127" s="8">
        <v>12419295.48</v>
      </c>
      <c r="N1127" s="8">
        <v>0</v>
      </c>
      <c r="P1127" s="8">
        <v>0</v>
      </c>
    </row>
    <row r="1128" spans="2:16" x14ac:dyDescent="0.25">
      <c r="D1128" s="3" t="s">
        <v>162</v>
      </c>
      <c r="F1128" s="7">
        <v>50102010</v>
      </c>
      <c r="H1128" s="8">
        <v>444000</v>
      </c>
      <c r="J1128" s="8">
        <v>444000</v>
      </c>
      <c r="L1128" s="8">
        <v>405454.55</v>
      </c>
      <c r="N1128" s="8">
        <v>0</v>
      </c>
      <c r="P1128" s="8">
        <v>38545.449999999997</v>
      </c>
    </row>
    <row r="1129" spans="2:16" x14ac:dyDescent="0.25">
      <c r="D1129" s="3" t="s">
        <v>776</v>
      </c>
      <c r="F1129" s="7">
        <v>50102020</v>
      </c>
      <c r="H1129" s="8">
        <v>60000</v>
      </c>
      <c r="J1129" s="8">
        <v>60000</v>
      </c>
      <c r="L1129" s="8">
        <v>60000</v>
      </c>
      <c r="N1129" s="8">
        <v>0</v>
      </c>
      <c r="P1129" s="8">
        <v>0</v>
      </c>
    </row>
    <row r="1130" spans="2:16" x14ac:dyDescent="0.25">
      <c r="D1130" s="3" t="s">
        <v>60</v>
      </c>
      <c r="F1130" s="7">
        <v>50102030</v>
      </c>
      <c r="H1130" s="8">
        <v>60000</v>
      </c>
      <c r="J1130" s="8">
        <v>60000</v>
      </c>
      <c r="L1130" s="8">
        <v>0</v>
      </c>
      <c r="N1130" s="8">
        <v>0</v>
      </c>
      <c r="P1130" s="8">
        <v>60000</v>
      </c>
    </row>
    <row r="1131" spans="2:16" x14ac:dyDescent="0.25">
      <c r="D1131" s="3" t="s">
        <v>11</v>
      </c>
      <c r="F1131" s="7">
        <v>50102040</v>
      </c>
      <c r="H1131" s="8">
        <v>115000</v>
      </c>
      <c r="J1131" s="8">
        <v>115000</v>
      </c>
      <c r="L1131" s="8">
        <v>85000</v>
      </c>
      <c r="N1131" s="8">
        <v>0</v>
      </c>
      <c r="P1131" s="8">
        <v>30000</v>
      </c>
    </row>
    <row r="1132" spans="2:16" x14ac:dyDescent="0.25">
      <c r="D1132" s="3" t="s">
        <v>88</v>
      </c>
      <c r="F1132" s="7">
        <v>50102050</v>
      </c>
      <c r="H1132" s="8">
        <v>333000</v>
      </c>
      <c r="J1132" s="8">
        <v>333000</v>
      </c>
      <c r="L1132" s="8">
        <v>173950</v>
      </c>
      <c r="N1132" s="8">
        <v>0</v>
      </c>
      <c r="P1132" s="8">
        <v>159050</v>
      </c>
    </row>
    <row r="1133" spans="2:16" x14ac:dyDescent="0.25">
      <c r="D1133" s="3" t="s">
        <v>89</v>
      </c>
      <c r="F1133" s="7">
        <v>50102060</v>
      </c>
      <c r="H1133" s="8">
        <v>33300</v>
      </c>
      <c r="J1133" s="8">
        <v>33300</v>
      </c>
      <c r="L1133" s="8">
        <v>22261.5</v>
      </c>
      <c r="N1133" s="8">
        <v>0</v>
      </c>
      <c r="P1133" s="8">
        <v>11038.5</v>
      </c>
    </row>
    <row r="1134" spans="2:16" x14ac:dyDescent="0.25">
      <c r="D1134" s="3" t="s">
        <v>90</v>
      </c>
      <c r="F1134" s="7">
        <v>50102110</v>
      </c>
      <c r="H1134" s="8">
        <v>977585.39</v>
      </c>
      <c r="J1134" s="8">
        <v>977585.39</v>
      </c>
      <c r="L1134" s="8">
        <v>899566.04</v>
      </c>
      <c r="N1134" s="8">
        <v>0</v>
      </c>
      <c r="P1134" s="8">
        <v>78019.350000000006</v>
      </c>
    </row>
    <row r="1135" spans="2:16" x14ac:dyDescent="0.25">
      <c r="D1135" s="3" t="s">
        <v>12</v>
      </c>
      <c r="F1135" s="7">
        <v>50102140</v>
      </c>
      <c r="H1135" s="8">
        <v>976064</v>
      </c>
      <c r="J1135" s="8">
        <v>976064</v>
      </c>
      <c r="L1135" s="8">
        <v>715824</v>
      </c>
      <c r="N1135" s="8">
        <v>0</v>
      </c>
      <c r="P1135" s="8">
        <v>260240</v>
      </c>
    </row>
    <row r="1136" spans="2:16" x14ac:dyDescent="0.25">
      <c r="D1136" s="3" t="s">
        <v>13</v>
      </c>
      <c r="F1136" s="7">
        <v>50102150</v>
      </c>
      <c r="H1136" s="8">
        <v>115000</v>
      </c>
      <c r="J1136" s="8">
        <v>115000</v>
      </c>
      <c r="L1136" s="8">
        <v>85000</v>
      </c>
      <c r="N1136" s="8">
        <v>0</v>
      </c>
      <c r="P1136" s="8">
        <v>30000</v>
      </c>
    </row>
    <row r="1137" spans="2:16" x14ac:dyDescent="0.25">
      <c r="D1137" s="3" t="s">
        <v>164</v>
      </c>
      <c r="F1137" s="7">
        <v>50103010</v>
      </c>
      <c r="H1137" s="8">
        <v>541372.92000000004</v>
      </c>
      <c r="J1137" s="8">
        <v>541372.92000000004</v>
      </c>
      <c r="L1137" s="8">
        <v>512223.6</v>
      </c>
      <c r="N1137" s="8">
        <v>0</v>
      </c>
      <c r="P1137" s="8">
        <v>29149.32</v>
      </c>
    </row>
    <row r="1138" spans="2:16" x14ac:dyDescent="0.25">
      <c r="D1138" s="3" t="s">
        <v>14</v>
      </c>
      <c r="F1138" s="7">
        <v>50103020</v>
      </c>
      <c r="H1138" s="8">
        <v>22200</v>
      </c>
      <c r="J1138" s="8">
        <v>22200</v>
      </c>
      <c r="L1138" s="8">
        <v>20200</v>
      </c>
      <c r="N1138" s="8">
        <v>0</v>
      </c>
      <c r="P1138" s="8">
        <v>2000</v>
      </c>
    </row>
    <row r="1139" spans="2:16" x14ac:dyDescent="0.25">
      <c r="D1139" s="3" t="s">
        <v>15</v>
      </c>
      <c r="F1139" s="7">
        <v>50103030</v>
      </c>
      <c r="H1139" s="8">
        <v>49387.5</v>
      </c>
      <c r="J1139" s="8">
        <v>49387.5</v>
      </c>
      <c r="L1139" s="8">
        <v>49387.5</v>
      </c>
      <c r="N1139" s="8">
        <v>0</v>
      </c>
      <c r="P1139" s="8">
        <v>0</v>
      </c>
    </row>
    <row r="1140" spans="2:16" x14ac:dyDescent="0.25">
      <c r="D1140" s="3" t="s">
        <v>165</v>
      </c>
      <c r="F1140" s="7">
        <v>50103040</v>
      </c>
      <c r="H1140" s="8">
        <v>22199.71</v>
      </c>
      <c r="J1140" s="8">
        <v>22199.71</v>
      </c>
      <c r="L1140" s="8">
        <v>20200</v>
      </c>
      <c r="N1140" s="8">
        <v>0</v>
      </c>
      <c r="P1140" s="8">
        <v>1999.71</v>
      </c>
    </row>
    <row r="1141" spans="2:16" x14ac:dyDescent="0.25">
      <c r="D1141" s="3" t="s">
        <v>16</v>
      </c>
      <c r="F1141" s="7">
        <v>50104990</v>
      </c>
      <c r="H1141" s="8">
        <v>115000</v>
      </c>
      <c r="J1141" s="8">
        <v>115000</v>
      </c>
      <c r="L1141" s="8">
        <v>85000</v>
      </c>
      <c r="N1141" s="8">
        <v>0</v>
      </c>
      <c r="P1141" s="8">
        <v>30000</v>
      </c>
    </row>
    <row r="1142" spans="2:16" x14ac:dyDescent="0.25">
      <c r="B1142" s="11" t="s">
        <v>166</v>
      </c>
      <c r="F1142" s="7">
        <v>200</v>
      </c>
      <c r="H1142" s="17">
        <f>SUM(H1143:H1157)</f>
        <v>26759564</v>
      </c>
      <c r="J1142" s="17">
        <f>SUM(J1143:J1157)</f>
        <v>26759564</v>
      </c>
      <c r="L1142" s="17">
        <f>SUM(L1143:L1157)</f>
        <v>26328097.460000001</v>
      </c>
      <c r="N1142" s="17">
        <f>SUM(N1143:N1157)</f>
        <v>0</v>
      </c>
      <c r="P1142" s="17">
        <f>SUM(P1143:P1157)</f>
        <v>431466.5399999994</v>
      </c>
    </row>
    <row r="1143" spans="2:16" x14ac:dyDescent="0.25">
      <c r="D1143" s="3" t="s">
        <v>759</v>
      </c>
      <c r="F1143" s="7">
        <v>50203020</v>
      </c>
      <c r="H1143" s="8">
        <v>92500</v>
      </c>
      <c r="J1143" s="8">
        <v>92500</v>
      </c>
      <c r="L1143" s="8">
        <v>92500</v>
      </c>
      <c r="N1143" s="8">
        <v>0</v>
      </c>
      <c r="P1143" s="8">
        <v>0</v>
      </c>
    </row>
    <row r="1144" spans="2:16" x14ac:dyDescent="0.25">
      <c r="D1144" s="3" t="s">
        <v>98</v>
      </c>
      <c r="F1144" s="7">
        <v>50203050</v>
      </c>
      <c r="H1144" s="8">
        <v>1172530</v>
      </c>
      <c r="J1144" s="8">
        <v>1172530</v>
      </c>
      <c r="L1144" s="8">
        <v>1157810</v>
      </c>
      <c r="N1144" s="8">
        <v>0</v>
      </c>
      <c r="P1144" s="8">
        <v>14720</v>
      </c>
    </row>
    <row r="1145" spans="2:16" x14ac:dyDescent="0.25">
      <c r="D1145" s="3" t="s">
        <v>93</v>
      </c>
      <c r="F1145" s="7">
        <v>50203070</v>
      </c>
      <c r="H1145" s="8">
        <v>4457591.3499999996</v>
      </c>
      <c r="J1145" s="8">
        <v>4457591.3499999996</v>
      </c>
      <c r="L1145" s="8">
        <f>3454056.35+259200+640892.95</f>
        <v>4354149.3</v>
      </c>
      <c r="N1145" s="8">
        <v>0</v>
      </c>
      <c r="P1145" s="8">
        <f>+J1145-L1145</f>
        <v>103442.04999999981</v>
      </c>
    </row>
    <row r="1146" spans="2:16" x14ac:dyDescent="0.25">
      <c r="D1146" s="3" t="s">
        <v>300</v>
      </c>
      <c r="F1146" s="7">
        <v>50203080</v>
      </c>
      <c r="H1146" s="8">
        <v>6972165.0499999998</v>
      </c>
      <c r="J1146" s="8">
        <v>6972165.0499999998</v>
      </c>
      <c r="L1146" s="8">
        <f>6374754.25+349725.7</f>
        <v>6724479.9500000002</v>
      </c>
      <c r="N1146" s="8">
        <v>0</v>
      </c>
      <c r="P1146" s="8">
        <f>+J1146-L1146</f>
        <v>247685.09999999963</v>
      </c>
    </row>
    <row r="1147" spans="2:16" x14ac:dyDescent="0.25">
      <c r="D1147" s="3" t="s">
        <v>20</v>
      </c>
      <c r="F1147" s="7">
        <v>50203090</v>
      </c>
      <c r="H1147" s="8">
        <v>50000</v>
      </c>
      <c r="J1147" s="8">
        <v>50000</v>
      </c>
      <c r="L1147" s="8">
        <v>50000</v>
      </c>
      <c r="N1147" s="8">
        <v>0</v>
      </c>
      <c r="P1147" s="8">
        <v>0</v>
      </c>
    </row>
    <row r="1148" spans="2:16" x14ac:dyDescent="0.25">
      <c r="D1148" s="3" t="s">
        <v>763</v>
      </c>
      <c r="F1148" s="7">
        <v>50203990</v>
      </c>
      <c r="H1148" s="8">
        <v>40500</v>
      </c>
      <c r="J1148" s="8">
        <v>40500</v>
      </c>
      <c r="L1148" s="8">
        <v>40500</v>
      </c>
      <c r="N1148" s="8">
        <v>0</v>
      </c>
      <c r="P1148" s="8">
        <v>0</v>
      </c>
    </row>
    <row r="1149" spans="2:16" x14ac:dyDescent="0.25">
      <c r="D1149" s="3" t="s">
        <v>21</v>
      </c>
      <c r="F1149" s="7">
        <v>50204010</v>
      </c>
      <c r="H1149" s="8">
        <v>89861</v>
      </c>
      <c r="J1149" s="8">
        <v>89861</v>
      </c>
      <c r="L1149" s="8">
        <v>89861</v>
      </c>
      <c r="N1149" s="8">
        <v>0</v>
      </c>
      <c r="P1149" s="8">
        <v>0</v>
      </c>
    </row>
    <row r="1150" spans="2:16" x14ac:dyDescent="0.25">
      <c r="D1150" s="3" t="s">
        <v>63</v>
      </c>
      <c r="F1150" s="7">
        <v>50204020</v>
      </c>
      <c r="H1150" s="8">
        <v>869181.03</v>
      </c>
      <c r="J1150" s="8">
        <v>869181.03</v>
      </c>
      <c r="L1150" s="8">
        <v>868850.74</v>
      </c>
      <c r="N1150" s="8">
        <v>0</v>
      </c>
      <c r="P1150" s="8">
        <v>330.29</v>
      </c>
    </row>
    <row r="1151" spans="2:16" x14ac:dyDescent="0.25">
      <c r="D1151" s="3" t="s">
        <v>22</v>
      </c>
      <c r="F1151" s="7">
        <v>50205020</v>
      </c>
      <c r="H1151" s="8">
        <v>42000</v>
      </c>
      <c r="J1151" s="8">
        <v>42000</v>
      </c>
      <c r="L1151" s="8">
        <v>42000</v>
      </c>
      <c r="N1151" s="8">
        <v>0</v>
      </c>
      <c r="P1151" s="8">
        <v>0</v>
      </c>
    </row>
    <row r="1152" spans="2:16" x14ac:dyDescent="0.25">
      <c r="D1152" s="3" t="s">
        <v>64</v>
      </c>
      <c r="F1152" s="7">
        <v>50205030</v>
      </c>
      <c r="H1152" s="8">
        <v>23393.98</v>
      </c>
      <c r="J1152" s="8">
        <v>23393.98</v>
      </c>
      <c r="L1152" s="8">
        <v>22993.98</v>
      </c>
      <c r="N1152" s="8">
        <v>0</v>
      </c>
      <c r="P1152" s="8">
        <v>400</v>
      </c>
    </row>
    <row r="1153" spans="2:16" x14ac:dyDescent="0.25">
      <c r="D1153" s="3" t="s">
        <v>26</v>
      </c>
      <c r="F1153" s="7">
        <v>50212990</v>
      </c>
      <c r="H1153" s="8">
        <v>12801197.84</v>
      </c>
      <c r="J1153" s="8">
        <v>12801197.84</v>
      </c>
      <c r="L1153" s="8">
        <v>12780308.74</v>
      </c>
      <c r="N1153" s="8">
        <v>0</v>
      </c>
      <c r="P1153" s="8">
        <v>20889.099999999999</v>
      </c>
    </row>
    <row r="1154" spans="2:16" x14ac:dyDescent="0.25">
      <c r="D1154" s="3" t="s">
        <v>317</v>
      </c>
      <c r="F1154" s="7">
        <v>50213040</v>
      </c>
      <c r="H1154" s="8">
        <v>49999</v>
      </c>
      <c r="J1154" s="8">
        <v>49999</v>
      </c>
      <c r="L1154" s="8">
        <v>49999</v>
      </c>
      <c r="N1154" s="8">
        <v>0</v>
      </c>
      <c r="P1154" s="8">
        <v>0</v>
      </c>
    </row>
    <row r="1155" spans="2:16" x14ac:dyDescent="0.25">
      <c r="D1155" s="3" t="s">
        <v>27</v>
      </c>
      <c r="F1155" s="7">
        <v>50213050</v>
      </c>
      <c r="H1155" s="8">
        <v>34391</v>
      </c>
      <c r="J1155" s="8">
        <v>34391</v>
      </c>
      <c r="L1155" s="8">
        <v>34391</v>
      </c>
      <c r="N1155" s="8">
        <v>0</v>
      </c>
      <c r="P1155" s="8">
        <v>0</v>
      </c>
    </row>
    <row r="1156" spans="2:16" x14ac:dyDescent="0.25">
      <c r="D1156" s="3" t="s">
        <v>73</v>
      </c>
      <c r="F1156" s="7">
        <v>50216010</v>
      </c>
      <c r="H1156" s="8">
        <v>50000</v>
      </c>
      <c r="J1156" s="8">
        <v>50000</v>
      </c>
      <c r="L1156" s="8">
        <v>6000</v>
      </c>
      <c r="N1156" s="8">
        <v>0</v>
      </c>
      <c r="P1156" s="8">
        <v>44000</v>
      </c>
    </row>
    <row r="1157" spans="2:16" x14ac:dyDescent="0.25">
      <c r="D1157" s="3" t="s">
        <v>761</v>
      </c>
      <c r="F1157" s="7">
        <v>50216020</v>
      </c>
      <c r="H1157" s="8">
        <v>14253.75</v>
      </c>
      <c r="J1157" s="8">
        <v>14253.75</v>
      </c>
      <c r="L1157" s="95">
        <v>14253.75</v>
      </c>
      <c r="N1157" s="8">
        <v>0</v>
      </c>
      <c r="P1157" s="8">
        <v>0</v>
      </c>
    </row>
    <row r="1159" spans="2:16" x14ac:dyDescent="0.25">
      <c r="C1159" s="11" t="s">
        <v>313</v>
      </c>
      <c r="H1159" s="17">
        <f>+H1142+H1125</f>
        <v>47554406</v>
      </c>
      <c r="I1159" s="8" t="s">
        <v>0</v>
      </c>
      <c r="J1159" s="17">
        <f>+J1142+J1125</f>
        <v>47554406</v>
      </c>
      <c r="K1159" s="8" t="s">
        <v>0</v>
      </c>
      <c r="L1159" s="17">
        <f>+L1142+L1125</f>
        <v>46239742.120000005</v>
      </c>
      <c r="M1159" s="8" t="s">
        <v>0</v>
      </c>
      <c r="N1159" s="17">
        <f>+N1142+N1125</f>
        <v>0</v>
      </c>
      <c r="O1159" s="8" t="s">
        <v>0</v>
      </c>
      <c r="P1159" s="17">
        <f>+P1142+P1125</f>
        <v>1314663.8799999994</v>
      </c>
    </row>
    <row r="1161" spans="2:16" x14ac:dyDescent="0.25">
      <c r="C1161" s="11" t="s">
        <v>314</v>
      </c>
      <c r="F1161" s="89">
        <v>7000</v>
      </c>
      <c r="H1161" s="17">
        <f>SUM(H1162:H1164)</f>
        <v>49401665.100000001</v>
      </c>
      <c r="J1161" s="17">
        <f>SUM(J1162:J1164)</f>
        <v>49401665.100000001</v>
      </c>
      <c r="L1161" s="17">
        <f>SUM(L1162:L1164)</f>
        <v>49301598.370000005</v>
      </c>
      <c r="N1161" s="17">
        <f>SUM(N1162:N1164)</f>
        <v>0</v>
      </c>
      <c r="P1161" s="17">
        <f>SUM(P1162:P1164)</f>
        <v>100066.73</v>
      </c>
    </row>
    <row r="1162" spans="2:16" x14ac:dyDescent="0.25">
      <c r="D1162" s="3" t="s">
        <v>7</v>
      </c>
      <c r="H1162" s="8">
        <f>+H1167</f>
        <v>7481909.3800000008</v>
      </c>
      <c r="J1162" s="8">
        <f>+J1167</f>
        <v>7481909.3800000008</v>
      </c>
      <c r="L1162" s="8">
        <f>+L1167</f>
        <v>7481909.3800000008</v>
      </c>
      <c r="N1162" s="8">
        <f>+N1167</f>
        <v>0</v>
      </c>
      <c r="P1162" s="8">
        <f>+P1167</f>
        <v>0</v>
      </c>
    </row>
    <row r="1163" spans="2:16" x14ac:dyDescent="0.25">
      <c r="D1163" s="3" t="s">
        <v>17</v>
      </c>
      <c r="H1163" s="8">
        <f>+H1182</f>
        <v>41919755.719999999</v>
      </c>
      <c r="J1163" s="8">
        <f>+J1182</f>
        <v>41919755.719999999</v>
      </c>
      <c r="L1163" s="8">
        <f>+L1182</f>
        <v>41819688.990000002</v>
      </c>
      <c r="N1163" s="8">
        <f>+N1182</f>
        <v>0</v>
      </c>
      <c r="P1163" s="8">
        <f>+P1182</f>
        <v>100066.73</v>
      </c>
    </row>
    <row r="1164" spans="2:16" x14ac:dyDescent="0.25">
      <c r="D1164" s="3" t="s">
        <v>52</v>
      </c>
    </row>
    <row r="1166" spans="2:16" x14ac:dyDescent="0.25">
      <c r="B1166" s="11" t="s">
        <v>315</v>
      </c>
      <c r="F1166" s="7" t="s">
        <v>316</v>
      </c>
    </row>
    <row r="1167" spans="2:16" x14ac:dyDescent="0.25">
      <c r="B1167" s="11" t="s">
        <v>160</v>
      </c>
      <c r="F1167" s="7">
        <v>100</v>
      </c>
      <c r="H1167" s="17">
        <f>SUM(H1168:H1181)</f>
        <v>7481909.3800000008</v>
      </c>
      <c r="J1167" s="17">
        <f>SUM(J1168:J1181)</f>
        <v>7481909.3800000008</v>
      </c>
      <c r="L1167" s="17">
        <f>SUM(L1168:L1181)</f>
        <v>7481909.3800000008</v>
      </c>
      <c r="N1167" s="17">
        <f>SUM(N1168:N1181)</f>
        <v>0</v>
      </c>
      <c r="P1167" s="17">
        <f>SUM(P1168:P1181)</f>
        <v>0</v>
      </c>
    </row>
    <row r="1168" spans="2:16" x14ac:dyDescent="0.25">
      <c r="D1168" s="3" t="s">
        <v>8</v>
      </c>
      <c r="F1168" s="7">
        <v>50101010</v>
      </c>
      <c r="H1168" s="8">
        <v>4985326</v>
      </c>
      <c r="J1168" s="8">
        <v>4985326</v>
      </c>
      <c r="L1168" s="8">
        <v>4985326</v>
      </c>
      <c r="N1168" s="8">
        <v>0</v>
      </c>
      <c r="P1168" s="8">
        <v>0</v>
      </c>
    </row>
    <row r="1169" spans="2:16" x14ac:dyDescent="0.25">
      <c r="D1169" s="3" t="s">
        <v>162</v>
      </c>
      <c r="F1169" s="7">
        <v>50102010</v>
      </c>
      <c r="H1169" s="8">
        <v>274000</v>
      </c>
      <c r="J1169" s="8">
        <v>274000</v>
      </c>
      <c r="L1169" s="8">
        <v>274000</v>
      </c>
      <c r="N1169" s="8">
        <v>0</v>
      </c>
      <c r="P1169" s="8">
        <v>0</v>
      </c>
    </row>
    <row r="1170" spans="2:16" x14ac:dyDescent="0.25">
      <c r="D1170" s="3" t="s">
        <v>776</v>
      </c>
      <c r="F1170" s="7">
        <v>50102020</v>
      </c>
      <c r="H1170" s="8">
        <v>97750</v>
      </c>
      <c r="J1170" s="8">
        <v>97750</v>
      </c>
      <c r="L1170" s="8">
        <v>97750</v>
      </c>
      <c r="N1170" s="8">
        <v>0</v>
      </c>
      <c r="P1170" s="8">
        <v>0</v>
      </c>
    </row>
    <row r="1171" spans="2:16" x14ac:dyDescent="0.25">
      <c r="D1171" s="3" t="s">
        <v>11</v>
      </c>
      <c r="F1171" s="7">
        <v>50102040</v>
      </c>
      <c r="H1171" s="8">
        <v>55000</v>
      </c>
      <c r="J1171" s="8">
        <v>55000</v>
      </c>
      <c r="L1171" s="8">
        <v>55000</v>
      </c>
      <c r="N1171" s="8">
        <v>0</v>
      </c>
      <c r="P1171" s="8">
        <v>0</v>
      </c>
    </row>
    <row r="1172" spans="2:16" x14ac:dyDescent="0.25">
      <c r="D1172" s="3" t="s">
        <v>88</v>
      </c>
      <c r="F1172" s="7">
        <v>50102050</v>
      </c>
      <c r="H1172" s="8">
        <v>46950</v>
      </c>
      <c r="J1172" s="8">
        <v>46950</v>
      </c>
      <c r="L1172" s="8">
        <v>46950</v>
      </c>
      <c r="N1172" s="8">
        <v>0</v>
      </c>
      <c r="P1172" s="8">
        <v>0</v>
      </c>
    </row>
    <row r="1173" spans="2:16" x14ac:dyDescent="0.25">
      <c r="D1173" s="3" t="s">
        <v>90</v>
      </c>
      <c r="F1173" s="7">
        <v>50102110</v>
      </c>
      <c r="H1173" s="8">
        <v>370854.36</v>
      </c>
      <c r="J1173" s="8">
        <v>370854.36</v>
      </c>
      <c r="L1173" s="8">
        <v>370854.36</v>
      </c>
      <c r="N1173" s="8">
        <v>0</v>
      </c>
      <c r="P1173" s="8">
        <v>0</v>
      </c>
    </row>
    <row r="1174" spans="2:16" x14ac:dyDescent="0.25">
      <c r="D1174" s="3" t="s">
        <v>61</v>
      </c>
      <c r="F1174" s="7">
        <v>50102120</v>
      </c>
      <c r="H1174" s="8">
        <v>10000</v>
      </c>
      <c r="J1174" s="8">
        <v>10000</v>
      </c>
      <c r="L1174" s="8">
        <v>10000</v>
      </c>
      <c r="N1174" s="8">
        <v>0</v>
      </c>
      <c r="P1174" s="8">
        <v>0</v>
      </c>
    </row>
    <row r="1175" spans="2:16" x14ac:dyDescent="0.25">
      <c r="D1175" s="3" t="s">
        <v>12</v>
      </c>
      <c r="F1175" s="7">
        <v>50102140</v>
      </c>
      <c r="H1175" s="8">
        <v>850102</v>
      </c>
      <c r="J1175" s="8">
        <v>850102</v>
      </c>
      <c r="L1175" s="8">
        <v>850102</v>
      </c>
      <c r="N1175" s="8">
        <v>0</v>
      </c>
      <c r="P1175" s="8">
        <v>0</v>
      </c>
    </row>
    <row r="1176" spans="2:16" x14ac:dyDescent="0.25">
      <c r="D1176" s="3" t="s">
        <v>13</v>
      </c>
      <c r="F1176" s="7">
        <v>50102150</v>
      </c>
      <c r="H1176" s="8">
        <v>60000</v>
      </c>
      <c r="J1176" s="8">
        <v>60000</v>
      </c>
      <c r="L1176" s="8">
        <v>60000</v>
      </c>
      <c r="N1176" s="8">
        <v>0</v>
      </c>
      <c r="P1176" s="8">
        <v>0</v>
      </c>
    </row>
    <row r="1177" spans="2:16" x14ac:dyDescent="0.25">
      <c r="D1177" s="3" t="s">
        <v>164</v>
      </c>
      <c r="F1177" s="7">
        <v>50103010</v>
      </c>
      <c r="H1177" s="8">
        <v>598239.52</v>
      </c>
      <c r="J1177" s="8">
        <v>598239.52</v>
      </c>
      <c r="L1177" s="8">
        <v>598239.52</v>
      </c>
      <c r="N1177" s="8">
        <v>0</v>
      </c>
      <c r="P1177" s="8">
        <v>0</v>
      </c>
    </row>
    <row r="1178" spans="2:16" x14ac:dyDescent="0.25">
      <c r="D1178" s="3" t="s">
        <v>14</v>
      </c>
      <c r="F1178" s="7">
        <v>50103020</v>
      </c>
      <c r="H1178" s="8">
        <v>13800</v>
      </c>
      <c r="J1178" s="8">
        <v>13800</v>
      </c>
      <c r="L1178" s="8">
        <v>13800</v>
      </c>
      <c r="N1178" s="8">
        <v>0</v>
      </c>
      <c r="P1178" s="8">
        <v>0</v>
      </c>
    </row>
    <row r="1179" spans="2:16" x14ac:dyDescent="0.25">
      <c r="D1179" s="3" t="s">
        <v>15</v>
      </c>
      <c r="F1179" s="7">
        <v>50103030</v>
      </c>
      <c r="H1179" s="8">
        <v>46087.5</v>
      </c>
      <c r="J1179" s="8">
        <v>46087.5</v>
      </c>
      <c r="L1179" s="8">
        <v>46087.5</v>
      </c>
      <c r="N1179" s="8">
        <v>0</v>
      </c>
      <c r="P1179" s="8">
        <v>0</v>
      </c>
    </row>
    <row r="1180" spans="2:16" x14ac:dyDescent="0.25">
      <c r="D1180" s="3" t="s">
        <v>165</v>
      </c>
      <c r="F1180" s="7">
        <v>50103040</v>
      </c>
      <c r="H1180" s="8">
        <v>13800</v>
      </c>
      <c r="J1180" s="8">
        <v>13800</v>
      </c>
      <c r="L1180" s="8">
        <v>13800</v>
      </c>
      <c r="N1180" s="8">
        <v>0</v>
      </c>
      <c r="P1180" s="8">
        <v>0</v>
      </c>
    </row>
    <row r="1181" spans="2:16" x14ac:dyDescent="0.25">
      <c r="D1181" s="3" t="s">
        <v>16</v>
      </c>
      <c r="F1181" s="7">
        <v>50104990</v>
      </c>
      <c r="H1181" s="8">
        <v>60000</v>
      </c>
      <c r="J1181" s="8">
        <v>60000</v>
      </c>
      <c r="L1181" s="8">
        <v>60000</v>
      </c>
      <c r="N1181" s="8">
        <v>0</v>
      </c>
      <c r="P1181" s="8">
        <v>0</v>
      </c>
    </row>
    <row r="1182" spans="2:16" x14ac:dyDescent="0.25">
      <c r="B1182" s="11" t="s">
        <v>166</v>
      </c>
      <c r="F1182" s="7">
        <v>200</v>
      </c>
      <c r="H1182" s="17">
        <f>SUM(H1183:H1192,H1194,H1201,H1208,H1219,H1234,H1243,H1251,H1258,H1266,H1272,H1275,H1285,H1293,H1302,H1308,H1313,H1314)</f>
        <v>41919755.719999999</v>
      </c>
      <c r="J1182" s="17">
        <f>SUM(J1183:J1192,J1194,J1201,J1208,J1219,J1234,J1243,J1251,J1258,J1266,J1272,J1275,J1285,J1293,J1302,J1308,J1313,J1314)</f>
        <v>41919755.719999999</v>
      </c>
      <c r="L1182" s="17">
        <f>SUM(L1183:L1192,L1194,L1201,L1208,L1219,L1234,L1243,L1251,L1258,L1266,L1272,L1275,L1285,L1293,L1302,L1308,L1313,L1314)</f>
        <v>41819688.990000002</v>
      </c>
      <c r="N1182" s="17">
        <f>SUM(N1183:N1192,N1194,N1201,N1208,N1219,N1234,N1243,N1251,N1258,N1266,N1272,N1275,N1285,N1293,N1302,N1308,N1313,N1314)</f>
        <v>0</v>
      </c>
      <c r="P1182" s="17">
        <f>SUM(P1183:P1192,P1194,P1201,P1208,P1219,P1234,P1243,P1251,P1258,P1266,P1272,P1275,P1285,P1293,P1302,P1308,P1313,P1314)</f>
        <v>100066.73</v>
      </c>
    </row>
    <row r="1183" spans="2:16" x14ac:dyDescent="0.25">
      <c r="D1183" s="3" t="s">
        <v>21</v>
      </c>
      <c r="F1183" s="7">
        <v>50204010</v>
      </c>
      <c r="H1183" s="8">
        <v>7000</v>
      </c>
      <c r="J1183" s="8">
        <v>7000</v>
      </c>
      <c r="L1183" s="8">
        <v>1540</v>
      </c>
      <c r="N1183" s="8">
        <v>0</v>
      </c>
      <c r="P1183" s="8">
        <v>5460</v>
      </c>
    </row>
    <row r="1184" spans="2:16" x14ac:dyDescent="0.25">
      <c r="D1184" s="3" t="s">
        <v>663</v>
      </c>
      <c r="F1184" s="7">
        <v>50204020</v>
      </c>
      <c r="H1184" s="8">
        <v>11394.3</v>
      </c>
      <c r="J1184" s="8">
        <v>11394.3</v>
      </c>
      <c r="L1184" s="8">
        <v>10227.94</v>
      </c>
      <c r="N1184" s="8">
        <v>0</v>
      </c>
      <c r="P1184" s="8">
        <v>1166.3599999999999</v>
      </c>
    </row>
    <row r="1185" spans="3:16" x14ac:dyDescent="0.25">
      <c r="D1185" s="3" t="s">
        <v>664</v>
      </c>
      <c r="F1185" s="7">
        <v>50204020</v>
      </c>
      <c r="H1185" s="8">
        <v>10070.24</v>
      </c>
      <c r="J1185" s="8">
        <v>10070.24</v>
      </c>
      <c r="L1185" s="8">
        <v>9132.4599999999991</v>
      </c>
      <c r="N1185" s="8">
        <v>0</v>
      </c>
      <c r="P1185" s="8">
        <v>937.78</v>
      </c>
    </row>
    <row r="1186" spans="3:16" x14ac:dyDescent="0.25">
      <c r="D1186" s="3" t="s">
        <v>22</v>
      </c>
      <c r="F1186" s="7">
        <v>50205020</v>
      </c>
      <c r="H1186" s="8">
        <v>42000</v>
      </c>
      <c r="J1186" s="8">
        <v>42000</v>
      </c>
      <c r="L1186" s="8">
        <v>42000</v>
      </c>
      <c r="N1186" s="8">
        <v>0</v>
      </c>
      <c r="P1186" s="8">
        <v>0</v>
      </c>
    </row>
    <row r="1187" spans="3:16" x14ac:dyDescent="0.25">
      <c r="D1187" s="3" t="s">
        <v>27</v>
      </c>
      <c r="F1187" s="7">
        <v>50213050</v>
      </c>
      <c r="H1187" s="8">
        <v>12700</v>
      </c>
      <c r="J1187" s="8">
        <v>12700</v>
      </c>
      <c r="L1187" s="8">
        <v>12700</v>
      </c>
      <c r="N1187" s="8">
        <v>0</v>
      </c>
      <c r="P1187" s="8">
        <v>0</v>
      </c>
    </row>
    <row r="1188" spans="3:16" x14ac:dyDescent="0.25">
      <c r="D1188" s="3" t="s">
        <v>761</v>
      </c>
      <c r="F1188" s="7">
        <v>50216020</v>
      </c>
      <c r="H1188" s="8">
        <v>7316.25</v>
      </c>
      <c r="J1188" s="8">
        <v>7316.25</v>
      </c>
      <c r="L1188" s="8">
        <v>7316.25</v>
      </c>
      <c r="N1188" s="8">
        <v>0</v>
      </c>
      <c r="P1188" s="8">
        <v>0</v>
      </c>
    </row>
    <row r="1189" spans="3:16" x14ac:dyDescent="0.25">
      <c r="D1189" s="3" t="s">
        <v>91</v>
      </c>
      <c r="F1189" s="7">
        <v>50299020</v>
      </c>
      <c r="H1189" s="8">
        <v>9300</v>
      </c>
      <c r="J1189" s="8">
        <v>9300</v>
      </c>
      <c r="L1189" s="8">
        <v>9300</v>
      </c>
      <c r="N1189" s="8">
        <v>0</v>
      </c>
      <c r="P1189" s="8">
        <v>0</v>
      </c>
    </row>
    <row r="1190" spans="3:16" x14ac:dyDescent="0.25">
      <c r="D1190" s="3" t="s">
        <v>38</v>
      </c>
      <c r="F1190" s="7">
        <v>50299030</v>
      </c>
      <c r="H1190" s="8">
        <v>43400</v>
      </c>
      <c r="J1190" s="8">
        <v>43400</v>
      </c>
      <c r="L1190" s="8">
        <v>43400</v>
      </c>
      <c r="N1190" s="8">
        <v>0</v>
      </c>
      <c r="P1190" s="8">
        <v>0</v>
      </c>
    </row>
    <row r="1191" spans="3:16" x14ac:dyDescent="0.25">
      <c r="D1191" s="3" t="s">
        <v>55</v>
      </c>
      <c r="F1191" s="7">
        <v>50299070</v>
      </c>
      <c r="H1191" s="8">
        <v>4246</v>
      </c>
      <c r="J1191" s="8">
        <v>4246</v>
      </c>
      <c r="L1191" s="8">
        <v>4246</v>
      </c>
      <c r="N1191" s="8">
        <v>0</v>
      </c>
      <c r="P1191" s="8">
        <v>0</v>
      </c>
    </row>
    <row r="1192" spans="3:16" x14ac:dyDescent="0.25">
      <c r="D1192" s="3" t="s">
        <v>43</v>
      </c>
      <c r="F1192" s="7">
        <v>50299080</v>
      </c>
      <c r="H1192" s="8">
        <v>37000</v>
      </c>
      <c r="J1192" s="8">
        <v>37000</v>
      </c>
      <c r="L1192" s="8">
        <v>37000</v>
      </c>
      <c r="N1192" s="8">
        <v>0</v>
      </c>
      <c r="P1192" s="8">
        <v>0</v>
      </c>
    </row>
    <row r="1193" spans="3:16" x14ac:dyDescent="0.25">
      <c r="C1193" s="11" t="s">
        <v>177</v>
      </c>
    </row>
    <row r="1194" spans="3:16" x14ac:dyDescent="0.25">
      <c r="C1194" s="11" t="s">
        <v>101</v>
      </c>
      <c r="H1194" s="17">
        <f>SUM(H1195:H1200)</f>
        <v>5957818.5</v>
      </c>
      <c r="J1194" s="17">
        <f>SUM(J1195:J1200)</f>
        <v>5957818.5</v>
      </c>
      <c r="L1194" s="17">
        <f>SUM(L1195:L1200)</f>
        <v>5957818.5</v>
      </c>
      <c r="N1194" s="17">
        <f>SUM(N1195:N1200)</f>
        <v>0</v>
      </c>
      <c r="P1194" s="17">
        <f>SUM(P1195:P1200)</f>
        <v>0</v>
      </c>
    </row>
    <row r="1195" spans="3:16" x14ac:dyDescent="0.25">
      <c r="D1195" s="3" t="s">
        <v>760</v>
      </c>
      <c r="F1195" s="7">
        <v>50201010</v>
      </c>
      <c r="H1195" s="8">
        <v>9548</v>
      </c>
      <c r="J1195" s="8">
        <v>9548</v>
      </c>
      <c r="L1195" s="8">
        <v>9548</v>
      </c>
      <c r="N1195" s="8">
        <v>0</v>
      </c>
      <c r="P1195" s="8">
        <v>0</v>
      </c>
    </row>
    <row r="1196" spans="3:16" x14ac:dyDescent="0.25">
      <c r="D1196" s="3" t="s">
        <v>36</v>
      </c>
      <c r="F1196" s="7">
        <v>50203010</v>
      </c>
      <c r="H1196" s="8">
        <v>9975.5</v>
      </c>
      <c r="J1196" s="8">
        <v>9975.5</v>
      </c>
      <c r="L1196" s="8">
        <v>9975.5</v>
      </c>
      <c r="N1196" s="8">
        <v>0</v>
      </c>
      <c r="P1196" s="8">
        <v>0</v>
      </c>
    </row>
    <row r="1197" spans="3:16" x14ac:dyDescent="0.25">
      <c r="D1197" s="3" t="s">
        <v>37</v>
      </c>
      <c r="F1197" s="7">
        <v>50203990</v>
      </c>
      <c r="H1197" s="8">
        <v>10495</v>
      </c>
      <c r="J1197" s="8">
        <v>10495</v>
      </c>
      <c r="L1197" s="8">
        <v>10495</v>
      </c>
      <c r="N1197" s="8">
        <v>0</v>
      </c>
      <c r="P1197" s="8">
        <v>0</v>
      </c>
    </row>
    <row r="1198" spans="3:16" x14ac:dyDescent="0.25">
      <c r="D1198" s="3" t="s">
        <v>83</v>
      </c>
      <c r="F1198" s="7">
        <v>50299020</v>
      </c>
      <c r="H1198" s="8">
        <v>5000</v>
      </c>
      <c r="J1198" s="8">
        <v>5000</v>
      </c>
      <c r="L1198" s="8">
        <v>5000</v>
      </c>
      <c r="N1198" s="8">
        <v>0</v>
      </c>
      <c r="P1198" s="8">
        <v>0</v>
      </c>
    </row>
    <row r="1199" spans="3:16" x14ac:dyDescent="0.25">
      <c r="D1199" s="3" t="s">
        <v>38</v>
      </c>
      <c r="F1199" s="7">
        <v>50299030</v>
      </c>
      <c r="H1199" s="8">
        <v>10000</v>
      </c>
      <c r="J1199" s="8">
        <v>10000</v>
      </c>
      <c r="L1199" s="8">
        <v>10000</v>
      </c>
      <c r="N1199" s="8">
        <v>0</v>
      </c>
      <c r="P1199" s="8">
        <v>0</v>
      </c>
    </row>
    <row r="1200" spans="3:16" x14ac:dyDescent="0.25">
      <c r="D1200" s="3" t="s">
        <v>43</v>
      </c>
      <c r="F1200" s="7">
        <v>50299080</v>
      </c>
      <c r="H1200" s="8">
        <v>5912800</v>
      </c>
      <c r="J1200" s="8">
        <v>5912800</v>
      </c>
      <c r="L1200" s="8">
        <v>5912800</v>
      </c>
      <c r="N1200" s="8">
        <v>0</v>
      </c>
      <c r="P1200" s="8">
        <v>0</v>
      </c>
    </row>
    <row r="1201" spans="3:16" x14ac:dyDescent="0.25">
      <c r="C1201" s="11" t="s">
        <v>102</v>
      </c>
      <c r="H1201" s="17">
        <f>SUM(H1202:H1207)</f>
        <v>3289530.78</v>
      </c>
      <c r="J1201" s="17">
        <f>SUM(J1202:J1207)</f>
        <v>3289530.78</v>
      </c>
      <c r="L1201" s="17">
        <f>SUM(L1202:L1207)</f>
        <v>3284530.78</v>
      </c>
      <c r="N1201" s="17">
        <f>SUM(N1202:N1207)</f>
        <v>0</v>
      </c>
      <c r="P1201" s="17">
        <f>SUM(P1202:P1207)</f>
        <v>5000</v>
      </c>
    </row>
    <row r="1202" spans="3:16" x14ac:dyDescent="0.25">
      <c r="D1202" s="3" t="s">
        <v>760</v>
      </c>
      <c r="F1202" s="7">
        <v>50201010</v>
      </c>
      <c r="H1202" s="8">
        <v>6440</v>
      </c>
      <c r="J1202" s="8">
        <v>6440</v>
      </c>
      <c r="L1202" s="8">
        <v>6440</v>
      </c>
      <c r="N1202" s="8">
        <v>0</v>
      </c>
      <c r="P1202" s="8">
        <v>0</v>
      </c>
    </row>
    <row r="1203" spans="3:16" x14ac:dyDescent="0.25">
      <c r="D1203" s="3" t="s">
        <v>19</v>
      </c>
      <c r="F1203" s="7">
        <v>50202010</v>
      </c>
      <c r="H1203" s="8">
        <v>177560</v>
      </c>
      <c r="J1203" s="8">
        <v>177560</v>
      </c>
      <c r="L1203" s="8">
        <v>177560</v>
      </c>
      <c r="N1203" s="8">
        <v>0</v>
      </c>
      <c r="P1203" s="8">
        <v>0</v>
      </c>
    </row>
    <row r="1204" spans="3:16" x14ac:dyDescent="0.25">
      <c r="D1204" s="3" t="s">
        <v>40</v>
      </c>
      <c r="F1204" s="7">
        <v>50206020</v>
      </c>
      <c r="H1204" s="8">
        <v>71950</v>
      </c>
      <c r="J1204" s="8">
        <v>71950</v>
      </c>
      <c r="L1204" s="8">
        <v>71950</v>
      </c>
      <c r="N1204" s="8">
        <v>0</v>
      </c>
      <c r="P1204" s="8">
        <v>0</v>
      </c>
    </row>
    <row r="1205" spans="3:16" x14ac:dyDescent="0.25">
      <c r="D1205" s="3" t="s">
        <v>25</v>
      </c>
      <c r="F1205" s="7">
        <v>50211990</v>
      </c>
      <c r="H1205" s="8">
        <v>2832405.78</v>
      </c>
      <c r="J1205" s="8">
        <v>2832405.78</v>
      </c>
      <c r="L1205" s="8">
        <v>2827405.78</v>
      </c>
      <c r="N1205" s="8">
        <v>0</v>
      </c>
      <c r="P1205" s="8">
        <v>5000</v>
      </c>
    </row>
    <row r="1206" spans="3:16" x14ac:dyDescent="0.25">
      <c r="D1206" s="3" t="s">
        <v>735</v>
      </c>
      <c r="F1206" s="7">
        <v>50299030</v>
      </c>
      <c r="H1206" s="8">
        <v>199875</v>
      </c>
      <c r="J1206" s="8">
        <v>199875</v>
      </c>
      <c r="L1206" s="8">
        <v>199875</v>
      </c>
      <c r="N1206" s="8">
        <v>0</v>
      </c>
      <c r="P1206" s="8">
        <v>0</v>
      </c>
    </row>
    <row r="1207" spans="3:16" x14ac:dyDescent="0.25">
      <c r="D1207" s="3" t="s">
        <v>43</v>
      </c>
      <c r="F1207" s="7">
        <v>50299080</v>
      </c>
      <c r="H1207" s="8">
        <v>1300</v>
      </c>
      <c r="J1207" s="8">
        <v>1300</v>
      </c>
      <c r="L1207" s="8">
        <v>1300</v>
      </c>
      <c r="N1207" s="8">
        <v>0</v>
      </c>
      <c r="P1207" s="8">
        <v>0</v>
      </c>
    </row>
    <row r="1208" spans="3:16" x14ac:dyDescent="0.25">
      <c r="C1208" s="11" t="s">
        <v>103</v>
      </c>
      <c r="H1208" s="17">
        <f>SUM(H1209:H1218)</f>
        <v>961495.8</v>
      </c>
      <c r="J1208" s="17">
        <f>SUM(J1209:J1218)</f>
        <v>961495.8</v>
      </c>
      <c r="L1208" s="17">
        <f>SUM(L1209:L1218)</f>
        <v>960477.79</v>
      </c>
      <c r="N1208" s="17">
        <f>SUM(N1209:N1218)</f>
        <v>0</v>
      </c>
      <c r="P1208" s="17">
        <f>SUM(P1209:P1218)</f>
        <v>1018.01</v>
      </c>
    </row>
    <row r="1209" spans="3:16" x14ac:dyDescent="0.25">
      <c r="D1209" s="3" t="s">
        <v>744</v>
      </c>
      <c r="F1209" s="7">
        <v>50201010</v>
      </c>
      <c r="H1209" s="8">
        <v>14092</v>
      </c>
      <c r="J1209" s="8">
        <v>14092</v>
      </c>
      <c r="L1209" s="8">
        <v>14092</v>
      </c>
      <c r="N1209" s="8">
        <v>0</v>
      </c>
      <c r="P1209" s="8">
        <v>0</v>
      </c>
    </row>
    <row r="1210" spans="3:16" x14ac:dyDescent="0.25">
      <c r="D1210" s="3" t="s">
        <v>19</v>
      </c>
      <c r="F1210" s="7">
        <v>50202010</v>
      </c>
      <c r="H1210" s="8">
        <v>179250</v>
      </c>
      <c r="J1210" s="8">
        <v>179250</v>
      </c>
      <c r="L1210" s="8">
        <v>179250</v>
      </c>
      <c r="N1210" s="8">
        <v>0</v>
      </c>
      <c r="P1210" s="8">
        <v>0</v>
      </c>
    </row>
    <row r="1211" spans="3:16" x14ac:dyDescent="0.25">
      <c r="D1211" s="3" t="s">
        <v>751</v>
      </c>
      <c r="F1211" s="7">
        <v>50203010</v>
      </c>
      <c r="H1211" s="8">
        <v>24332</v>
      </c>
      <c r="J1211" s="8">
        <v>24332</v>
      </c>
      <c r="L1211" s="8">
        <v>24332</v>
      </c>
      <c r="N1211" s="8">
        <v>0</v>
      </c>
      <c r="P1211" s="8">
        <v>0</v>
      </c>
    </row>
    <row r="1212" spans="3:16" x14ac:dyDescent="0.25">
      <c r="D1212" s="3" t="s">
        <v>749</v>
      </c>
      <c r="F1212" s="7">
        <v>50203050</v>
      </c>
      <c r="H1212" s="8">
        <v>522169.8</v>
      </c>
      <c r="J1212" s="8">
        <v>522169.8</v>
      </c>
      <c r="L1212" s="8">
        <v>522169.8</v>
      </c>
      <c r="N1212" s="8">
        <v>0</v>
      </c>
      <c r="P1212" s="8">
        <v>0</v>
      </c>
    </row>
    <row r="1213" spans="3:16" ht="12" customHeight="1" x14ac:dyDescent="0.25">
      <c r="D1213" s="3" t="s">
        <v>20</v>
      </c>
      <c r="F1213" s="7">
        <v>50203090</v>
      </c>
      <c r="H1213" s="8">
        <v>14657.63</v>
      </c>
      <c r="J1213" s="8">
        <v>14657.63</v>
      </c>
      <c r="L1213" s="8">
        <v>14657.63</v>
      </c>
      <c r="N1213" s="8">
        <v>0</v>
      </c>
      <c r="P1213" s="8">
        <v>0</v>
      </c>
    </row>
    <row r="1214" spans="3:16" x14ac:dyDescent="0.25">
      <c r="D1214" s="3" t="s">
        <v>37</v>
      </c>
      <c r="F1214" s="7">
        <v>50203990</v>
      </c>
      <c r="H1214" s="8">
        <v>41637</v>
      </c>
      <c r="J1214" s="8">
        <v>41637</v>
      </c>
      <c r="L1214" s="8">
        <v>41637</v>
      </c>
      <c r="N1214" s="8">
        <v>0</v>
      </c>
      <c r="P1214" s="8">
        <v>0</v>
      </c>
    </row>
    <row r="1215" spans="3:16" x14ac:dyDescent="0.25">
      <c r="D1215" s="3" t="s">
        <v>736</v>
      </c>
      <c r="F1215" s="7">
        <v>50204010</v>
      </c>
      <c r="H1215" s="8">
        <v>5400</v>
      </c>
      <c r="J1215" s="8">
        <v>5400</v>
      </c>
      <c r="L1215" s="8">
        <v>4488</v>
      </c>
      <c r="N1215" s="8">
        <v>0</v>
      </c>
      <c r="P1215" s="8">
        <v>912</v>
      </c>
    </row>
    <row r="1216" spans="3:16" x14ac:dyDescent="0.25">
      <c r="D1216" s="21" t="s">
        <v>63</v>
      </c>
      <c r="F1216" s="7">
        <v>50204020</v>
      </c>
      <c r="H1216" s="8">
        <v>122773.37</v>
      </c>
      <c r="J1216" s="8">
        <v>122773.37</v>
      </c>
      <c r="L1216" s="8">
        <v>122667.36</v>
      </c>
      <c r="N1216" s="8">
        <v>0</v>
      </c>
      <c r="P1216" s="8">
        <v>106.01</v>
      </c>
    </row>
    <row r="1217" spans="3:16" x14ac:dyDescent="0.25">
      <c r="D1217" s="3" t="s">
        <v>83</v>
      </c>
      <c r="F1217" s="7">
        <v>50299020</v>
      </c>
      <c r="H1217" s="8">
        <v>7184</v>
      </c>
      <c r="J1217" s="8">
        <v>7184</v>
      </c>
      <c r="L1217" s="8">
        <v>7184</v>
      </c>
      <c r="N1217" s="8">
        <v>0</v>
      </c>
      <c r="P1217" s="8">
        <v>0</v>
      </c>
    </row>
    <row r="1218" spans="3:16" x14ac:dyDescent="0.25">
      <c r="D1218" s="3" t="s">
        <v>735</v>
      </c>
      <c r="F1218" s="7">
        <v>50299030</v>
      </c>
      <c r="H1218" s="8">
        <v>30000</v>
      </c>
      <c r="J1218" s="8">
        <v>30000</v>
      </c>
      <c r="L1218" s="8">
        <v>30000</v>
      </c>
      <c r="N1218" s="8">
        <v>0</v>
      </c>
      <c r="P1218" s="8">
        <v>0</v>
      </c>
    </row>
    <row r="1219" spans="3:16" x14ac:dyDescent="0.25">
      <c r="C1219" s="11" t="s">
        <v>104</v>
      </c>
      <c r="H1219" s="17">
        <f>SUM(H1220:H1233)</f>
        <v>14228989.050000001</v>
      </c>
      <c r="J1219" s="17">
        <f>SUM(J1220:J1233)</f>
        <v>14228989.050000001</v>
      </c>
      <c r="L1219" s="17">
        <f>SUM(L1220:L1233)</f>
        <v>14228989.050000001</v>
      </c>
      <c r="N1219" s="17">
        <f>SUM(N1220:N1233)</f>
        <v>0</v>
      </c>
      <c r="P1219" s="17">
        <f>SUM(P1220:P1233)</f>
        <v>0</v>
      </c>
    </row>
    <row r="1220" spans="3:16" x14ac:dyDescent="0.25">
      <c r="D1220" s="3" t="s">
        <v>760</v>
      </c>
      <c r="F1220" s="7">
        <v>50201010</v>
      </c>
      <c r="H1220" s="8">
        <v>9367</v>
      </c>
      <c r="J1220" s="8">
        <v>9367</v>
      </c>
      <c r="L1220" s="8">
        <v>9367</v>
      </c>
      <c r="N1220" s="8">
        <f>+H1220-J1220</f>
        <v>0</v>
      </c>
      <c r="P1220" s="8">
        <f>+J1220-L1220</f>
        <v>0</v>
      </c>
    </row>
    <row r="1221" spans="3:16" x14ac:dyDescent="0.25">
      <c r="D1221" s="3" t="s">
        <v>36</v>
      </c>
      <c r="F1221" s="7">
        <v>50203010</v>
      </c>
      <c r="H1221" s="8">
        <v>67406</v>
      </c>
      <c r="J1221" s="8">
        <v>67406</v>
      </c>
      <c r="L1221" s="8">
        <v>67406</v>
      </c>
      <c r="N1221" s="8">
        <f t="shared" ref="N1221:N1233" si="6">+H1221-J1221</f>
        <v>0</v>
      </c>
      <c r="P1221" s="8">
        <f t="shared" ref="P1221:P1233" si="7">+J1221-L1221</f>
        <v>0</v>
      </c>
    </row>
    <row r="1222" spans="3:16" x14ac:dyDescent="0.25">
      <c r="D1222" s="3" t="s">
        <v>749</v>
      </c>
      <c r="F1222" s="7">
        <v>50203050</v>
      </c>
      <c r="H1222" s="8">
        <v>99700</v>
      </c>
      <c r="J1222" s="8">
        <v>99700</v>
      </c>
      <c r="L1222" s="8">
        <v>99700</v>
      </c>
      <c r="N1222" s="8">
        <f t="shared" si="6"/>
        <v>0</v>
      </c>
      <c r="P1222" s="8">
        <f t="shared" si="7"/>
        <v>0</v>
      </c>
    </row>
    <row r="1223" spans="3:16" x14ac:dyDescent="0.25">
      <c r="D1223" s="3" t="s">
        <v>99</v>
      </c>
      <c r="F1223" s="7">
        <v>50203990</v>
      </c>
      <c r="H1223" s="8">
        <v>15000</v>
      </c>
      <c r="J1223" s="8">
        <v>15000</v>
      </c>
      <c r="L1223" s="8">
        <v>15000</v>
      </c>
      <c r="N1223" s="8">
        <f t="shared" si="6"/>
        <v>0</v>
      </c>
      <c r="P1223" s="8">
        <f t="shared" si="7"/>
        <v>0</v>
      </c>
    </row>
    <row r="1224" spans="3:16" x14ac:dyDescent="0.25">
      <c r="D1224" s="3" t="s">
        <v>83</v>
      </c>
      <c r="F1224" s="7">
        <v>50299020</v>
      </c>
      <c r="H1224" s="8">
        <v>20604</v>
      </c>
      <c r="J1224" s="8">
        <v>20604</v>
      </c>
      <c r="L1224" s="8">
        <v>20604</v>
      </c>
      <c r="N1224" s="8">
        <f t="shared" si="6"/>
        <v>0</v>
      </c>
      <c r="P1224" s="8">
        <f t="shared" si="7"/>
        <v>0</v>
      </c>
    </row>
    <row r="1225" spans="3:16" x14ac:dyDescent="0.25">
      <c r="D1225" s="3" t="s">
        <v>38</v>
      </c>
      <c r="F1225" s="7">
        <v>50299030</v>
      </c>
      <c r="H1225" s="8">
        <v>30000</v>
      </c>
      <c r="J1225" s="8">
        <v>30000</v>
      </c>
      <c r="L1225" s="8">
        <v>30000</v>
      </c>
      <c r="N1225" s="8">
        <f t="shared" si="6"/>
        <v>0</v>
      </c>
      <c r="P1225" s="8">
        <f t="shared" si="7"/>
        <v>0</v>
      </c>
    </row>
    <row r="1226" spans="3:16" x14ac:dyDescent="0.25">
      <c r="D1226" s="11" t="s">
        <v>43</v>
      </c>
      <c r="F1226" s="7">
        <v>50299080</v>
      </c>
    </row>
    <row r="1227" spans="3:16" x14ac:dyDescent="0.25">
      <c r="E1227" s="3" t="s">
        <v>738</v>
      </c>
      <c r="F1227" s="3"/>
      <c r="H1227" s="8">
        <v>7971500</v>
      </c>
      <c r="J1227" s="8">
        <v>7971500</v>
      </c>
      <c r="L1227" s="8">
        <v>7971500</v>
      </c>
      <c r="N1227" s="8">
        <v>0</v>
      </c>
      <c r="P1227" s="8">
        <v>0</v>
      </c>
    </row>
    <row r="1228" spans="3:16" x14ac:dyDescent="0.25">
      <c r="E1228" s="3" t="s">
        <v>750</v>
      </c>
      <c r="H1228" s="8">
        <v>4100000</v>
      </c>
      <c r="J1228" s="8">
        <v>4100000</v>
      </c>
      <c r="L1228" s="8">
        <v>4100000</v>
      </c>
      <c r="N1228" s="8">
        <f t="shared" si="6"/>
        <v>0</v>
      </c>
      <c r="P1228" s="8">
        <f t="shared" si="7"/>
        <v>0</v>
      </c>
    </row>
    <row r="1229" spans="3:16" x14ac:dyDescent="0.25">
      <c r="E1229" s="3" t="s">
        <v>739</v>
      </c>
      <c r="H1229" s="8">
        <v>1200000</v>
      </c>
      <c r="J1229" s="8">
        <v>1200000</v>
      </c>
      <c r="L1229" s="8">
        <v>1200000</v>
      </c>
      <c r="N1229" s="8">
        <f t="shared" si="6"/>
        <v>0</v>
      </c>
      <c r="P1229" s="8">
        <f t="shared" si="7"/>
        <v>0</v>
      </c>
    </row>
    <row r="1230" spans="3:16" x14ac:dyDescent="0.25">
      <c r="E1230" s="3" t="s">
        <v>740</v>
      </c>
      <c r="H1230" s="8">
        <v>176112.05</v>
      </c>
      <c r="J1230" s="8">
        <v>176112.05</v>
      </c>
      <c r="L1230" s="8">
        <v>176112.05</v>
      </c>
      <c r="N1230" s="8">
        <f t="shared" si="6"/>
        <v>0</v>
      </c>
      <c r="P1230" s="8">
        <f t="shared" si="7"/>
        <v>0</v>
      </c>
    </row>
    <row r="1231" spans="3:16" x14ac:dyDescent="0.25">
      <c r="E1231" s="3" t="s">
        <v>741</v>
      </c>
      <c r="H1231" s="8">
        <v>15000</v>
      </c>
      <c r="J1231" s="8">
        <v>15000</v>
      </c>
      <c r="L1231" s="8">
        <v>15000</v>
      </c>
      <c r="N1231" s="8">
        <f t="shared" si="6"/>
        <v>0</v>
      </c>
      <c r="P1231" s="8">
        <f t="shared" si="7"/>
        <v>0</v>
      </c>
    </row>
    <row r="1232" spans="3:16" x14ac:dyDescent="0.25">
      <c r="E1232" s="3" t="s">
        <v>665</v>
      </c>
      <c r="H1232" s="8">
        <v>24300</v>
      </c>
      <c r="J1232" s="8">
        <v>24300</v>
      </c>
      <c r="L1232" s="8">
        <v>24300</v>
      </c>
      <c r="N1232" s="8">
        <f t="shared" si="6"/>
        <v>0</v>
      </c>
      <c r="P1232" s="8">
        <f t="shared" si="7"/>
        <v>0</v>
      </c>
    </row>
    <row r="1233" spans="3:16" x14ac:dyDescent="0.25">
      <c r="E1233" s="3" t="s">
        <v>535</v>
      </c>
      <c r="H1233" s="8">
        <v>500000</v>
      </c>
      <c r="J1233" s="8">
        <v>500000</v>
      </c>
      <c r="L1233" s="8">
        <v>500000</v>
      </c>
      <c r="N1233" s="8">
        <f t="shared" si="6"/>
        <v>0</v>
      </c>
      <c r="P1233" s="8">
        <f t="shared" si="7"/>
        <v>0</v>
      </c>
    </row>
    <row r="1234" spans="3:16" x14ac:dyDescent="0.25">
      <c r="C1234" s="11" t="s">
        <v>105</v>
      </c>
      <c r="H1234" s="17">
        <f>SUM(H1235:H1242)</f>
        <v>1106480.83</v>
      </c>
      <c r="J1234" s="17">
        <f>SUM(J1235:J1242)</f>
        <v>1106480.83</v>
      </c>
      <c r="L1234" s="17">
        <f>SUM(L1235:L1242)</f>
        <v>1106480.83</v>
      </c>
      <c r="N1234" s="17">
        <f>SUM(N1235:N1242)</f>
        <v>0</v>
      </c>
      <c r="P1234" s="17">
        <f>SUM(P1235:P1242)</f>
        <v>0</v>
      </c>
    </row>
    <row r="1235" spans="3:16" x14ac:dyDescent="0.25">
      <c r="D1235" s="3" t="s">
        <v>760</v>
      </c>
      <c r="F1235" s="7">
        <v>50201010</v>
      </c>
      <c r="H1235" s="8">
        <v>46875</v>
      </c>
      <c r="J1235" s="8">
        <v>46875</v>
      </c>
      <c r="L1235" s="8">
        <v>46875</v>
      </c>
      <c r="N1235" s="8">
        <v>0</v>
      </c>
      <c r="P1235" s="8">
        <v>0</v>
      </c>
    </row>
    <row r="1236" spans="3:16" x14ac:dyDescent="0.25">
      <c r="D1236" s="3" t="s">
        <v>19</v>
      </c>
      <c r="F1236" s="7">
        <v>50202010</v>
      </c>
      <c r="H1236" s="8">
        <v>229585</v>
      </c>
      <c r="J1236" s="8">
        <v>229585</v>
      </c>
      <c r="L1236" s="8">
        <v>229585</v>
      </c>
      <c r="N1236" s="8">
        <v>0</v>
      </c>
      <c r="P1236" s="8">
        <v>0</v>
      </c>
    </row>
    <row r="1237" spans="3:16" x14ac:dyDescent="0.25">
      <c r="D1237" s="3" t="s">
        <v>40</v>
      </c>
      <c r="F1237" s="7">
        <v>50206020</v>
      </c>
      <c r="H1237" s="8">
        <v>77200</v>
      </c>
      <c r="J1237" s="8">
        <v>77200</v>
      </c>
      <c r="L1237" s="8">
        <v>77200</v>
      </c>
      <c r="N1237" s="8">
        <v>0</v>
      </c>
      <c r="P1237" s="8">
        <v>0</v>
      </c>
    </row>
    <row r="1238" spans="3:16" x14ac:dyDescent="0.25">
      <c r="D1238" s="3" t="s">
        <v>25</v>
      </c>
      <c r="F1238" s="7">
        <v>50211990</v>
      </c>
      <c r="H1238" s="8">
        <v>284927.83</v>
      </c>
      <c r="J1238" s="8">
        <v>284927.83</v>
      </c>
      <c r="L1238" s="8">
        <v>284927.83</v>
      </c>
      <c r="N1238" s="8">
        <v>0</v>
      </c>
      <c r="P1238" s="8">
        <v>0</v>
      </c>
    </row>
    <row r="1239" spans="3:16" x14ac:dyDescent="0.25">
      <c r="D1239" s="3" t="s">
        <v>735</v>
      </c>
      <c r="F1239" s="7">
        <v>50299030</v>
      </c>
      <c r="H1239" s="8">
        <v>198893</v>
      </c>
      <c r="J1239" s="8">
        <v>198893</v>
      </c>
      <c r="L1239" s="8">
        <v>198893</v>
      </c>
      <c r="N1239" s="8">
        <v>0</v>
      </c>
      <c r="P1239" s="8">
        <v>0</v>
      </c>
    </row>
    <row r="1240" spans="3:16" x14ac:dyDescent="0.25">
      <c r="D1240" s="3" t="s">
        <v>106</v>
      </c>
      <c r="F1240" s="7">
        <v>50299080</v>
      </c>
      <c r="H1240" s="8">
        <v>250000</v>
      </c>
      <c r="J1240" s="8">
        <v>250000</v>
      </c>
      <c r="L1240" s="8">
        <v>250000</v>
      </c>
      <c r="N1240" s="8">
        <v>0</v>
      </c>
      <c r="P1240" s="8">
        <v>0</v>
      </c>
    </row>
    <row r="1241" spans="3:16" x14ac:dyDescent="0.25">
      <c r="D1241" s="3" t="s">
        <v>107</v>
      </c>
      <c r="F1241" s="7">
        <v>50299080</v>
      </c>
      <c r="H1241" s="8">
        <v>15000</v>
      </c>
      <c r="J1241" s="8">
        <v>15000</v>
      </c>
      <c r="L1241" s="8">
        <v>15000</v>
      </c>
      <c r="N1241" s="8">
        <v>0</v>
      </c>
      <c r="P1241" s="8">
        <v>0</v>
      </c>
    </row>
    <row r="1242" spans="3:16" x14ac:dyDescent="0.25">
      <c r="D1242" s="3" t="s">
        <v>319</v>
      </c>
      <c r="F1242" s="7">
        <v>50299080</v>
      </c>
      <c r="H1242" s="8">
        <v>4000</v>
      </c>
      <c r="J1242" s="8">
        <v>4000</v>
      </c>
      <c r="L1242" s="8">
        <v>4000</v>
      </c>
      <c r="N1242" s="8">
        <v>0</v>
      </c>
      <c r="P1242" s="8">
        <v>0</v>
      </c>
    </row>
    <row r="1243" spans="3:16" x14ac:dyDescent="0.25">
      <c r="C1243" s="11" t="s">
        <v>108</v>
      </c>
      <c r="H1243" s="17">
        <f>SUM(H1244:H1250)</f>
        <v>808600.56</v>
      </c>
      <c r="J1243" s="17">
        <f>SUM(J1244:J1250)</f>
        <v>808600.56</v>
      </c>
      <c r="L1243" s="17">
        <f>SUM(L1244:L1250)</f>
        <v>808600.56</v>
      </c>
      <c r="N1243" s="17">
        <f>SUM(N1244:N1250)</f>
        <v>0</v>
      </c>
      <c r="P1243" s="17">
        <f>SUM(P1244:P1250)</f>
        <v>0</v>
      </c>
    </row>
    <row r="1244" spans="3:16" x14ac:dyDescent="0.25">
      <c r="D1244" s="3" t="s">
        <v>760</v>
      </c>
      <c r="F1244" s="7">
        <v>50201010</v>
      </c>
      <c r="H1244" s="8">
        <v>14810</v>
      </c>
      <c r="J1244" s="8">
        <v>14810</v>
      </c>
      <c r="L1244" s="8">
        <v>14810</v>
      </c>
      <c r="N1244" s="8">
        <v>0</v>
      </c>
      <c r="P1244" s="8">
        <v>0</v>
      </c>
    </row>
    <row r="1245" spans="3:16" x14ac:dyDescent="0.25">
      <c r="D1245" s="3" t="s">
        <v>19</v>
      </c>
      <c r="F1245" s="7">
        <v>50202010</v>
      </c>
      <c r="H1245" s="8">
        <v>89190</v>
      </c>
      <c r="J1245" s="8">
        <v>89190</v>
      </c>
      <c r="L1245" s="8">
        <v>89190</v>
      </c>
      <c r="N1245" s="8">
        <v>0</v>
      </c>
      <c r="P1245" s="8">
        <v>0</v>
      </c>
    </row>
    <row r="1246" spans="3:16" x14ac:dyDescent="0.25">
      <c r="D1246" s="3" t="s">
        <v>36</v>
      </c>
      <c r="F1246" s="7">
        <v>50203010</v>
      </c>
      <c r="H1246" s="8">
        <v>14998</v>
      </c>
      <c r="J1246" s="8">
        <v>14998</v>
      </c>
      <c r="L1246" s="8">
        <v>14998</v>
      </c>
      <c r="N1246" s="8">
        <v>0</v>
      </c>
      <c r="P1246" s="8">
        <v>0</v>
      </c>
    </row>
    <row r="1247" spans="3:16" x14ac:dyDescent="0.25">
      <c r="D1247" s="3" t="s">
        <v>40</v>
      </c>
      <c r="F1247" s="7">
        <v>50206020</v>
      </c>
      <c r="H1247" s="8">
        <v>24800</v>
      </c>
      <c r="J1247" s="8">
        <v>24800</v>
      </c>
      <c r="L1247" s="8">
        <v>24800</v>
      </c>
      <c r="N1247" s="8">
        <v>0</v>
      </c>
      <c r="P1247" s="8">
        <v>0</v>
      </c>
    </row>
    <row r="1248" spans="3:16" x14ac:dyDescent="0.25">
      <c r="D1248" s="3" t="s">
        <v>25</v>
      </c>
      <c r="F1248" s="7">
        <v>50211990</v>
      </c>
      <c r="H1248" s="8">
        <v>209997.56</v>
      </c>
      <c r="J1248" s="8">
        <v>209997.56</v>
      </c>
      <c r="L1248" s="8">
        <v>209997.56</v>
      </c>
      <c r="N1248" s="8">
        <v>0</v>
      </c>
      <c r="P1248" s="8">
        <v>0</v>
      </c>
    </row>
    <row r="1249" spans="3:16" x14ac:dyDescent="0.25">
      <c r="D1249" s="3" t="s">
        <v>38</v>
      </c>
      <c r="F1249" s="7">
        <v>50299030</v>
      </c>
      <c r="H1249" s="8">
        <v>269250</v>
      </c>
      <c r="J1249" s="8">
        <v>269250</v>
      </c>
      <c r="L1249" s="8">
        <v>269250</v>
      </c>
      <c r="N1249" s="8">
        <v>0</v>
      </c>
      <c r="P1249" s="8">
        <v>0</v>
      </c>
    </row>
    <row r="1250" spans="3:16" x14ac:dyDescent="0.25">
      <c r="D1250" s="3" t="s">
        <v>43</v>
      </c>
      <c r="F1250" s="7">
        <v>50299080</v>
      </c>
      <c r="H1250" s="8">
        <v>185555</v>
      </c>
      <c r="J1250" s="8">
        <v>185555</v>
      </c>
      <c r="L1250" s="8">
        <v>185555</v>
      </c>
      <c r="N1250" s="8">
        <v>0</v>
      </c>
      <c r="P1250" s="8">
        <v>0</v>
      </c>
    </row>
    <row r="1251" spans="3:16" x14ac:dyDescent="0.25">
      <c r="C1251" s="11" t="s">
        <v>109</v>
      </c>
      <c r="H1251" s="17">
        <f>SUM(H1252:H1257)</f>
        <v>235681</v>
      </c>
      <c r="J1251" s="17">
        <f>SUM(J1252:J1257)</f>
        <v>235681</v>
      </c>
      <c r="L1251" s="17">
        <f>SUM(L1252:L1257)</f>
        <v>235681</v>
      </c>
      <c r="N1251" s="17">
        <f>SUM(N1252:N1257)</f>
        <v>0</v>
      </c>
      <c r="P1251" s="17">
        <f>SUM(P1252:P1257)</f>
        <v>0</v>
      </c>
    </row>
    <row r="1252" spans="3:16" x14ac:dyDescent="0.25">
      <c r="D1252" s="3" t="s">
        <v>760</v>
      </c>
      <c r="F1252" s="7">
        <v>50201010</v>
      </c>
      <c r="H1252" s="8">
        <v>13240</v>
      </c>
      <c r="J1252" s="8">
        <v>13240</v>
      </c>
      <c r="L1252" s="8">
        <v>13240</v>
      </c>
      <c r="N1252" s="8">
        <v>0</v>
      </c>
      <c r="P1252" s="8">
        <v>0</v>
      </c>
    </row>
    <row r="1253" spans="3:16" x14ac:dyDescent="0.25">
      <c r="D1253" s="3" t="s">
        <v>19</v>
      </c>
      <c r="F1253" s="7">
        <v>50202010</v>
      </c>
      <c r="H1253" s="8">
        <v>99900</v>
      </c>
      <c r="J1253" s="8">
        <v>99900</v>
      </c>
      <c r="L1253" s="8">
        <v>99900</v>
      </c>
      <c r="N1253" s="8">
        <v>0</v>
      </c>
      <c r="P1253" s="8">
        <v>0</v>
      </c>
    </row>
    <row r="1254" spans="3:16" x14ac:dyDescent="0.25">
      <c r="D1254" s="3" t="s">
        <v>751</v>
      </c>
      <c r="F1254" s="7">
        <v>50203010</v>
      </c>
      <c r="H1254" s="8">
        <v>24981</v>
      </c>
      <c r="J1254" s="8">
        <v>24981</v>
      </c>
      <c r="L1254" s="8">
        <v>24981</v>
      </c>
      <c r="N1254" s="8">
        <v>0</v>
      </c>
      <c r="P1254" s="8">
        <v>0</v>
      </c>
    </row>
    <row r="1255" spans="3:16" x14ac:dyDescent="0.25">
      <c r="D1255" s="3" t="s">
        <v>742</v>
      </c>
      <c r="F1255" s="7">
        <v>50211990</v>
      </c>
      <c r="H1255" s="8">
        <v>5560</v>
      </c>
      <c r="J1255" s="8">
        <v>5560</v>
      </c>
      <c r="L1255" s="8">
        <v>5560</v>
      </c>
      <c r="N1255" s="8">
        <v>0</v>
      </c>
      <c r="P1255" s="8">
        <v>0</v>
      </c>
    </row>
    <row r="1256" spans="3:16" x14ac:dyDescent="0.25">
      <c r="D1256" s="3" t="s">
        <v>735</v>
      </c>
      <c r="F1256" s="7">
        <v>50299030</v>
      </c>
      <c r="H1256" s="8">
        <v>62000</v>
      </c>
      <c r="J1256" s="8">
        <v>62000</v>
      </c>
      <c r="L1256" s="8">
        <v>62000</v>
      </c>
      <c r="N1256" s="8">
        <v>0</v>
      </c>
      <c r="P1256" s="8">
        <v>0</v>
      </c>
    </row>
    <row r="1257" spans="3:16" x14ac:dyDescent="0.25">
      <c r="D1257" s="3" t="s">
        <v>43</v>
      </c>
      <c r="F1257" s="7">
        <v>50299080</v>
      </c>
      <c r="H1257" s="8">
        <v>30000</v>
      </c>
      <c r="J1257" s="8">
        <v>30000</v>
      </c>
      <c r="L1257" s="8">
        <v>30000</v>
      </c>
      <c r="N1257" s="8">
        <v>0</v>
      </c>
      <c r="P1257" s="8">
        <v>0</v>
      </c>
    </row>
    <row r="1258" spans="3:16" x14ac:dyDescent="0.25">
      <c r="C1258" s="11" t="s">
        <v>110</v>
      </c>
      <c r="H1258" s="98">
        <f>SUM(H1259:H1265)</f>
        <v>247727</v>
      </c>
      <c r="J1258" s="98">
        <f>SUM(J1259:J1265)</f>
        <v>247727</v>
      </c>
      <c r="L1258" s="98">
        <f>SUM(L1259:L1265)</f>
        <v>247727</v>
      </c>
      <c r="N1258" s="98">
        <f>SUM(N1259:N1265)</f>
        <v>0</v>
      </c>
      <c r="P1258" s="98">
        <f>SUM(P1259:P1265)</f>
        <v>0</v>
      </c>
    </row>
    <row r="1259" spans="3:16" x14ac:dyDescent="0.25">
      <c r="D1259" s="3" t="s">
        <v>760</v>
      </c>
      <c r="F1259" s="7">
        <v>50201010</v>
      </c>
      <c r="H1259" s="8">
        <v>14760</v>
      </c>
      <c r="J1259" s="8">
        <v>14760</v>
      </c>
      <c r="L1259" s="8">
        <v>14760</v>
      </c>
      <c r="N1259" s="8">
        <v>0</v>
      </c>
      <c r="P1259" s="8">
        <v>0</v>
      </c>
    </row>
    <row r="1260" spans="3:16" x14ac:dyDescent="0.25">
      <c r="D1260" s="3" t="s">
        <v>19</v>
      </c>
      <c r="F1260" s="7">
        <v>50202010</v>
      </c>
      <c r="H1260" s="8">
        <v>43200</v>
      </c>
      <c r="J1260" s="8">
        <v>43200</v>
      </c>
      <c r="L1260" s="8">
        <v>43200</v>
      </c>
      <c r="N1260" s="8">
        <v>0</v>
      </c>
      <c r="P1260" s="8">
        <v>0</v>
      </c>
    </row>
    <row r="1261" spans="3:16" x14ac:dyDescent="0.25">
      <c r="D1261" s="3" t="s">
        <v>36</v>
      </c>
      <c r="F1261" s="7">
        <v>50203010</v>
      </c>
      <c r="H1261" s="8">
        <v>17418</v>
      </c>
      <c r="J1261" s="8">
        <v>17418</v>
      </c>
      <c r="L1261" s="8">
        <v>17418</v>
      </c>
      <c r="N1261" s="8">
        <v>0</v>
      </c>
      <c r="P1261" s="8">
        <v>0</v>
      </c>
    </row>
    <row r="1262" spans="3:16" x14ac:dyDescent="0.25">
      <c r="D1262" s="3" t="s">
        <v>742</v>
      </c>
      <c r="F1262" s="7">
        <v>50211990</v>
      </c>
      <c r="H1262" s="8">
        <v>6131</v>
      </c>
      <c r="J1262" s="8">
        <v>6131</v>
      </c>
      <c r="L1262" s="8">
        <v>6131</v>
      </c>
      <c r="N1262" s="8">
        <v>0</v>
      </c>
      <c r="P1262" s="8">
        <v>0</v>
      </c>
    </row>
    <row r="1263" spans="3:16" x14ac:dyDescent="0.25">
      <c r="D1263" s="3" t="s">
        <v>83</v>
      </c>
      <c r="F1263" s="7">
        <v>50299020</v>
      </c>
      <c r="H1263" s="8">
        <v>10000</v>
      </c>
      <c r="J1263" s="8">
        <v>10000</v>
      </c>
      <c r="L1263" s="8">
        <v>10000</v>
      </c>
      <c r="N1263" s="8">
        <v>0</v>
      </c>
      <c r="P1263" s="8">
        <v>0</v>
      </c>
    </row>
    <row r="1264" spans="3:16" x14ac:dyDescent="0.25">
      <c r="D1264" s="3" t="s">
        <v>735</v>
      </c>
      <c r="F1264" s="7">
        <v>50299030</v>
      </c>
      <c r="H1264" s="8">
        <v>134218</v>
      </c>
      <c r="J1264" s="8">
        <v>134218</v>
      </c>
      <c r="L1264" s="8">
        <v>134218</v>
      </c>
      <c r="N1264" s="8">
        <v>0</v>
      </c>
      <c r="P1264" s="8">
        <v>0</v>
      </c>
    </row>
    <row r="1265" spans="3:16" x14ac:dyDescent="0.25">
      <c r="D1265" s="3" t="s">
        <v>43</v>
      </c>
      <c r="F1265" s="7">
        <v>50299080</v>
      </c>
      <c r="H1265" s="8">
        <v>22000</v>
      </c>
      <c r="J1265" s="8">
        <v>22000</v>
      </c>
      <c r="L1265" s="8">
        <v>22000</v>
      </c>
      <c r="N1265" s="8">
        <v>0</v>
      </c>
      <c r="P1265" s="8">
        <v>0</v>
      </c>
    </row>
    <row r="1266" spans="3:16" x14ac:dyDescent="0.25">
      <c r="C1266" s="11" t="s">
        <v>111</v>
      </c>
      <c r="H1266" s="17">
        <f>SUM(H1267:H1271)</f>
        <v>2071543.43</v>
      </c>
      <c r="J1266" s="17">
        <f>SUM(J1267:J1271)</f>
        <v>2071543.43</v>
      </c>
      <c r="L1266" s="17">
        <f>SUM(L1267:L1271)</f>
        <v>2071543.43</v>
      </c>
      <c r="N1266" s="17">
        <f>SUM(N1267:N1271)</f>
        <v>0</v>
      </c>
      <c r="P1266" s="17">
        <f>SUM(P1267:P1271)</f>
        <v>0</v>
      </c>
    </row>
    <row r="1267" spans="3:16" x14ac:dyDescent="0.25">
      <c r="D1267" s="3" t="s">
        <v>19</v>
      </c>
      <c r="F1267" s="7">
        <v>50202010</v>
      </c>
      <c r="H1267" s="8">
        <v>299600</v>
      </c>
      <c r="J1267" s="8">
        <v>299600</v>
      </c>
      <c r="L1267" s="8">
        <v>299600</v>
      </c>
      <c r="N1267" s="8">
        <v>0</v>
      </c>
      <c r="P1267" s="8">
        <v>0</v>
      </c>
    </row>
    <row r="1268" spans="3:16" x14ac:dyDescent="0.25">
      <c r="D1268" s="3" t="s">
        <v>36</v>
      </c>
      <c r="F1268" s="7">
        <v>50203010</v>
      </c>
      <c r="H1268" s="8">
        <v>19978</v>
      </c>
      <c r="J1268" s="8">
        <v>19978</v>
      </c>
      <c r="L1268" s="8">
        <v>19978</v>
      </c>
      <c r="N1268" s="8">
        <v>0</v>
      </c>
      <c r="P1268" s="8">
        <v>0</v>
      </c>
    </row>
    <row r="1269" spans="3:16" x14ac:dyDescent="0.25">
      <c r="D1269" s="3" t="s">
        <v>25</v>
      </c>
      <c r="F1269" s="7">
        <v>50211990</v>
      </c>
      <c r="H1269" s="8">
        <v>1547130.43</v>
      </c>
      <c r="J1269" s="8">
        <v>1547130.43</v>
      </c>
      <c r="L1269" s="8">
        <v>1547130.43</v>
      </c>
      <c r="N1269" s="8">
        <v>0</v>
      </c>
      <c r="P1269" s="8">
        <v>0</v>
      </c>
    </row>
    <row r="1270" spans="3:16" x14ac:dyDescent="0.25">
      <c r="D1270" s="3" t="s">
        <v>83</v>
      </c>
      <c r="F1270" s="7">
        <v>50299020</v>
      </c>
      <c r="H1270" s="8">
        <v>14942</v>
      </c>
      <c r="J1270" s="8">
        <v>14942</v>
      </c>
      <c r="L1270" s="8">
        <v>14942</v>
      </c>
      <c r="N1270" s="8">
        <v>0</v>
      </c>
      <c r="P1270" s="8">
        <v>0</v>
      </c>
    </row>
    <row r="1271" spans="3:16" x14ac:dyDescent="0.25">
      <c r="D1271" s="3" t="s">
        <v>735</v>
      </c>
      <c r="F1271" s="7">
        <v>50299030</v>
      </c>
      <c r="H1271" s="8">
        <v>189893</v>
      </c>
      <c r="J1271" s="8">
        <v>189893</v>
      </c>
      <c r="L1271" s="8">
        <v>189893</v>
      </c>
      <c r="N1271" s="8">
        <v>0</v>
      </c>
      <c r="P1271" s="8">
        <v>0</v>
      </c>
    </row>
    <row r="1272" spans="3:16" x14ac:dyDescent="0.25">
      <c r="C1272" s="11" t="s">
        <v>775</v>
      </c>
      <c r="H1272" s="17">
        <f>SUM(H1273:H1274)</f>
        <v>1205224</v>
      </c>
      <c r="J1272" s="17">
        <f>SUM(J1273:J1274)</f>
        <v>1205224</v>
      </c>
      <c r="L1272" s="17">
        <f>SUM(L1273:L1274)</f>
        <v>1194239.42</v>
      </c>
      <c r="N1272" s="17">
        <f>SUM(N1273:N1274)</f>
        <v>0</v>
      </c>
      <c r="P1272" s="17">
        <f>SUM(P1273:P1274)</f>
        <v>10984.58</v>
      </c>
    </row>
    <row r="1273" spans="3:16" x14ac:dyDescent="0.25">
      <c r="D1273" s="3" t="s">
        <v>26</v>
      </c>
      <c r="F1273" s="7">
        <v>50212990</v>
      </c>
      <c r="H1273" s="8">
        <v>1197724</v>
      </c>
      <c r="J1273" s="8">
        <v>1197724</v>
      </c>
      <c r="L1273" s="8">
        <v>1186739.42</v>
      </c>
      <c r="N1273" s="8">
        <v>0</v>
      </c>
      <c r="P1273" s="8">
        <v>10984.58</v>
      </c>
    </row>
    <row r="1274" spans="3:16" x14ac:dyDescent="0.25">
      <c r="D1274" s="3" t="s">
        <v>38</v>
      </c>
      <c r="F1274" s="7">
        <v>50299030</v>
      </c>
      <c r="H1274" s="8">
        <v>7500</v>
      </c>
      <c r="J1274" s="8">
        <v>7500</v>
      </c>
      <c r="L1274" s="8">
        <v>7500</v>
      </c>
      <c r="N1274" s="8">
        <v>0</v>
      </c>
      <c r="P1274" s="8">
        <v>0</v>
      </c>
    </row>
    <row r="1275" spans="3:16" x14ac:dyDescent="0.25">
      <c r="C1275" s="11" t="s">
        <v>112</v>
      </c>
      <c r="H1275" s="17">
        <f>SUM(H1276:H1284)</f>
        <v>7693611.9500000002</v>
      </c>
      <c r="J1275" s="17">
        <f>SUM(J1276:J1284)</f>
        <v>7693611.9500000002</v>
      </c>
      <c r="L1275" s="17">
        <f>SUM(L1276:L1284)</f>
        <v>7691943.9500000002</v>
      </c>
      <c r="N1275" s="17">
        <f>SUM(N1276:N1284)</f>
        <v>0</v>
      </c>
      <c r="P1275" s="17">
        <f>SUM(P1276:P1284)</f>
        <v>1668</v>
      </c>
    </row>
    <row r="1276" spans="3:16" x14ac:dyDescent="0.25">
      <c r="D1276" s="3" t="s">
        <v>19</v>
      </c>
      <c r="F1276" s="7">
        <v>50202010</v>
      </c>
      <c r="H1276" s="8">
        <v>89631</v>
      </c>
      <c r="J1276" s="8">
        <v>89631</v>
      </c>
      <c r="L1276" s="8">
        <v>89631</v>
      </c>
      <c r="N1276" s="8">
        <v>0</v>
      </c>
      <c r="P1276" s="8">
        <v>0</v>
      </c>
    </row>
    <row r="1277" spans="3:16" x14ac:dyDescent="0.25">
      <c r="D1277" s="3" t="s">
        <v>36</v>
      </c>
      <c r="F1277" s="7">
        <v>50203010</v>
      </c>
      <c r="H1277" s="8">
        <v>78887</v>
      </c>
      <c r="J1277" s="8">
        <v>78887</v>
      </c>
      <c r="L1277" s="8">
        <v>78887</v>
      </c>
      <c r="N1277" s="8">
        <v>0</v>
      </c>
      <c r="P1277" s="8">
        <v>0</v>
      </c>
    </row>
    <row r="1278" spans="3:16" x14ac:dyDescent="0.25">
      <c r="D1278" s="3" t="s">
        <v>37</v>
      </c>
      <c r="F1278" s="7">
        <v>50203990</v>
      </c>
      <c r="H1278" s="8">
        <v>78350</v>
      </c>
      <c r="J1278" s="8">
        <v>78350</v>
      </c>
      <c r="L1278" s="8">
        <v>78350</v>
      </c>
      <c r="N1278" s="8">
        <v>0</v>
      </c>
      <c r="P1278" s="8">
        <v>0</v>
      </c>
    </row>
    <row r="1279" spans="3:16" x14ac:dyDescent="0.25">
      <c r="D1279" s="3" t="s">
        <v>22</v>
      </c>
      <c r="F1279" s="7">
        <v>50205020</v>
      </c>
      <c r="H1279" s="8">
        <v>1500</v>
      </c>
      <c r="J1279" s="8">
        <v>1500</v>
      </c>
      <c r="L1279" s="8">
        <v>1500</v>
      </c>
      <c r="N1279" s="8">
        <v>0</v>
      </c>
      <c r="P1279" s="8">
        <v>0</v>
      </c>
    </row>
    <row r="1280" spans="3:16" x14ac:dyDescent="0.25">
      <c r="D1280" s="3" t="s">
        <v>25</v>
      </c>
      <c r="F1280" s="7">
        <v>50211990</v>
      </c>
      <c r="H1280" s="8">
        <v>27852</v>
      </c>
      <c r="J1280" s="8">
        <v>27852</v>
      </c>
      <c r="L1280" s="8">
        <v>27852</v>
      </c>
      <c r="N1280" s="8">
        <v>0</v>
      </c>
      <c r="P1280" s="8">
        <v>0</v>
      </c>
    </row>
    <row r="1281" spans="3:16" x14ac:dyDescent="0.25">
      <c r="D1281" s="3" t="s">
        <v>26</v>
      </c>
      <c r="F1281" s="7">
        <v>50212990</v>
      </c>
      <c r="H1281" s="8">
        <v>15000</v>
      </c>
      <c r="J1281" s="8">
        <v>15000</v>
      </c>
      <c r="L1281" s="8">
        <v>13332</v>
      </c>
      <c r="N1281" s="8">
        <v>0</v>
      </c>
      <c r="P1281" s="8">
        <v>1668</v>
      </c>
    </row>
    <row r="1282" spans="3:16" x14ac:dyDescent="0.25">
      <c r="D1282" s="3" t="s">
        <v>91</v>
      </c>
      <c r="F1282" s="7">
        <v>50299020</v>
      </c>
      <c r="H1282" s="8">
        <v>98700</v>
      </c>
      <c r="J1282" s="8">
        <v>98700</v>
      </c>
      <c r="L1282" s="8">
        <v>98700</v>
      </c>
      <c r="N1282" s="8">
        <v>0</v>
      </c>
      <c r="P1282" s="8">
        <v>0</v>
      </c>
    </row>
    <row r="1283" spans="3:16" x14ac:dyDescent="0.25">
      <c r="D1283" s="3" t="s">
        <v>38</v>
      </c>
      <c r="F1283" s="7">
        <v>50299030</v>
      </c>
      <c r="H1283" s="8">
        <v>413420</v>
      </c>
      <c r="J1283" s="8">
        <v>413420</v>
      </c>
      <c r="L1283" s="8">
        <v>413420</v>
      </c>
      <c r="N1283" s="8">
        <v>0</v>
      </c>
      <c r="P1283" s="8">
        <v>0</v>
      </c>
    </row>
    <row r="1284" spans="3:16" x14ac:dyDescent="0.25">
      <c r="D1284" s="3" t="s">
        <v>43</v>
      </c>
      <c r="F1284" s="7">
        <v>50299080</v>
      </c>
      <c r="H1284" s="8">
        <v>6890271.9500000002</v>
      </c>
      <c r="J1284" s="8">
        <v>6890271.9500000002</v>
      </c>
      <c r="L1284" s="8">
        <v>6890271.9500000002</v>
      </c>
      <c r="N1284" s="8">
        <v>0</v>
      </c>
      <c r="P1284" s="8">
        <v>0</v>
      </c>
    </row>
    <row r="1285" spans="3:16" x14ac:dyDescent="0.25">
      <c r="C1285" s="11" t="s">
        <v>774</v>
      </c>
      <c r="H1285" s="17">
        <f>SUM(H1286:H1292)</f>
        <v>558000.6</v>
      </c>
      <c r="J1285" s="17">
        <f>SUM(J1286:J1292)</f>
        <v>558000.6</v>
      </c>
      <c r="L1285" s="17">
        <f>SUM(L1286:L1292)</f>
        <v>542648.6</v>
      </c>
      <c r="N1285" s="17">
        <f>SUM(N1286:N1292)</f>
        <v>0</v>
      </c>
      <c r="P1285" s="17">
        <f>SUM(P1286:P1292)</f>
        <v>15352</v>
      </c>
    </row>
    <row r="1286" spans="3:16" x14ac:dyDescent="0.25">
      <c r="D1286" s="3" t="s">
        <v>19</v>
      </c>
      <c r="F1286" s="7">
        <v>50202010</v>
      </c>
      <c r="H1286" s="8">
        <v>60680</v>
      </c>
      <c r="J1286" s="8">
        <v>60680</v>
      </c>
      <c r="L1286" s="8">
        <v>60680</v>
      </c>
      <c r="N1286" s="8">
        <v>0</v>
      </c>
      <c r="P1286" s="8">
        <v>0</v>
      </c>
    </row>
    <row r="1287" spans="3:16" x14ac:dyDescent="0.25">
      <c r="D1287" s="3" t="s">
        <v>36</v>
      </c>
      <c r="F1287" s="7">
        <v>50203010</v>
      </c>
      <c r="H1287" s="8">
        <v>65020.6</v>
      </c>
      <c r="J1287" s="8">
        <v>65020.6</v>
      </c>
      <c r="L1287" s="8">
        <v>65020.6</v>
      </c>
      <c r="N1287" s="8">
        <v>0</v>
      </c>
      <c r="P1287" s="8">
        <v>0</v>
      </c>
    </row>
    <row r="1288" spans="3:16" x14ac:dyDescent="0.25">
      <c r="D1288" s="3" t="s">
        <v>37</v>
      </c>
      <c r="F1288" s="7">
        <v>50203990</v>
      </c>
      <c r="H1288" s="8">
        <v>50000</v>
      </c>
      <c r="J1288" s="8">
        <v>50000</v>
      </c>
      <c r="L1288" s="8">
        <v>50000</v>
      </c>
      <c r="N1288" s="8">
        <v>0</v>
      </c>
      <c r="P1288" s="8">
        <v>0</v>
      </c>
    </row>
    <row r="1289" spans="3:16" x14ac:dyDescent="0.25">
      <c r="D1289" s="3" t="s">
        <v>25</v>
      </c>
      <c r="F1289" s="7">
        <v>50211990</v>
      </c>
      <c r="H1289" s="8">
        <v>11112</v>
      </c>
      <c r="J1289" s="8">
        <v>11112</v>
      </c>
      <c r="L1289" s="8">
        <v>11112</v>
      </c>
      <c r="N1289" s="8">
        <v>0</v>
      </c>
      <c r="P1289" s="8">
        <v>0</v>
      </c>
    </row>
    <row r="1290" spans="3:16" x14ac:dyDescent="0.25">
      <c r="D1290" s="3" t="s">
        <v>26</v>
      </c>
      <c r="F1290" s="7">
        <v>50212990</v>
      </c>
      <c r="H1290" s="8">
        <v>20000</v>
      </c>
      <c r="J1290" s="8">
        <v>20000</v>
      </c>
      <c r="L1290" s="8">
        <v>4648</v>
      </c>
      <c r="N1290" s="8">
        <v>0</v>
      </c>
      <c r="P1290" s="8">
        <v>15352</v>
      </c>
    </row>
    <row r="1291" spans="3:16" x14ac:dyDescent="0.25">
      <c r="D1291" s="3" t="s">
        <v>38</v>
      </c>
      <c r="F1291" s="7">
        <v>50299030</v>
      </c>
      <c r="H1291" s="8">
        <v>155000</v>
      </c>
      <c r="J1291" s="8">
        <v>155000</v>
      </c>
      <c r="L1291" s="8">
        <v>155000</v>
      </c>
      <c r="N1291" s="8">
        <v>0</v>
      </c>
      <c r="P1291" s="8">
        <v>0</v>
      </c>
    </row>
    <row r="1292" spans="3:16" x14ac:dyDescent="0.25">
      <c r="D1292" s="3" t="s">
        <v>43</v>
      </c>
      <c r="F1292" s="7">
        <v>50299080</v>
      </c>
      <c r="H1292" s="8">
        <v>196188</v>
      </c>
      <c r="J1292" s="8">
        <v>196188</v>
      </c>
      <c r="L1292" s="8">
        <v>196188</v>
      </c>
      <c r="N1292" s="8">
        <v>0</v>
      </c>
      <c r="P1292" s="8">
        <v>0</v>
      </c>
    </row>
    <row r="1293" spans="3:16" x14ac:dyDescent="0.25">
      <c r="C1293" s="11" t="s">
        <v>113</v>
      </c>
      <c r="H1293" s="17">
        <f>SUM(H1294:H1301)</f>
        <v>2535202.19</v>
      </c>
      <c r="J1293" s="17">
        <f>SUM(J1294:J1301)</f>
        <v>2535202.19</v>
      </c>
      <c r="L1293" s="17">
        <f>SUM(L1294:L1301)</f>
        <v>2526705.19</v>
      </c>
      <c r="N1293" s="17">
        <f>SUM(N1294:N1301)</f>
        <v>0</v>
      </c>
      <c r="P1293" s="17">
        <f>SUM(P1294:P1301)</f>
        <v>8497</v>
      </c>
    </row>
    <row r="1294" spans="3:16" x14ac:dyDescent="0.25">
      <c r="D1294" s="3" t="s">
        <v>760</v>
      </c>
      <c r="F1294" s="7">
        <v>50202010</v>
      </c>
      <c r="H1294" s="8">
        <v>83784</v>
      </c>
      <c r="J1294" s="8">
        <v>83784</v>
      </c>
      <c r="L1294" s="8">
        <v>83784</v>
      </c>
      <c r="N1294" s="8">
        <v>0</v>
      </c>
      <c r="P1294" s="8">
        <v>0</v>
      </c>
    </row>
    <row r="1295" spans="3:16" x14ac:dyDescent="0.25">
      <c r="D1295" s="3" t="s">
        <v>19</v>
      </c>
      <c r="F1295" s="7">
        <v>50202010</v>
      </c>
      <c r="H1295" s="8">
        <v>192600</v>
      </c>
      <c r="J1295" s="8">
        <v>192600</v>
      </c>
      <c r="L1295" s="8">
        <v>192600</v>
      </c>
      <c r="N1295" s="8">
        <v>0</v>
      </c>
      <c r="P1295" s="8">
        <v>0</v>
      </c>
    </row>
    <row r="1296" spans="3:16" x14ac:dyDescent="0.25">
      <c r="D1296" s="3" t="s">
        <v>36</v>
      </c>
      <c r="F1296" s="7">
        <v>50203010</v>
      </c>
      <c r="H1296" s="8">
        <v>69987</v>
      </c>
      <c r="J1296" s="8">
        <v>69987</v>
      </c>
      <c r="L1296" s="8">
        <v>69987</v>
      </c>
      <c r="N1296" s="8">
        <v>0</v>
      </c>
      <c r="P1296" s="8">
        <v>0</v>
      </c>
    </row>
    <row r="1297" spans="3:16" x14ac:dyDescent="0.25">
      <c r="D1297" s="3" t="s">
        <v>40</v>
      </c>
      <c r="F1297" s="7">
        <v>50206020</v>
      </c>
      <c r="H1297" s="8">
        <v>45100</v>
      </c>
      <c r="J1297" s="8">
        <v>45100</v>
      </c>
      <c r="L1297" s="8">
        <v>45100</v>
      </c>
      <c r="N1297" s="8">
        <v>0</v>
      </c>
      <c r="P1297" s="8">
        <v>0</v>
      </c>
    </row>
    <row r="1298" spans="3:16" x14ac:dyDescent="0.25">
      <c r="D1298" s="3" t="s">
        <v>25</v>
      </c>
      <c r="F1298" s="7">
        <v>50211990</v>
      </c>
      <c r="H1298" s="8">
        <v>15001</v>
      </c>
      <c r="J1298" s="8">
        <v>15001</v>
      </c>
      <c r="L1298" s="8">
        <v>15001</v>
      </c>
      <c r="N1298" s="8">
        <v>0</v>
      </c>
      <c r="P1298" s="8">
        <v>0</v>
      </c>
    </row>
    <row r="1299" spans="3:16" x14ac:dyDescent="0.25">
      <c r="D1299" s="3" t="s">
        <v>91</v>
      </c>
      <c r="F1299" s="7">
        <v>50299020</v>
      </c>
      <c r="H1299" s="8">
        <v>11410</v>
      </c>
      <c r="J1299" s="8">
        <v>11410</v>
      </c>
      <c r="L1299" s="8">
        <v>11410</v>
      </c>
      <c r="N1299" s="8">
        <v>0</v>
      </c>
      <c r="P1299" s="8">
        <v>0</v>
      </c>
    </row>
    <row r="1300" spans="3:16" x14ac:dyDescent="0.25">
      <c r="D1300" s="3" t="s">
        <v>38</v>
      </c>
      <c r="F1300" s="7">
        <v>50299030</v>
      </c>
      <c r="H1300" s="8">
        <v>131050</v>
      </c>
      <c r="J1300" s="8">
        <v>131050</v>
      </c>
      <c r="L1300" s="8">
        <v>131050</v>
      </c>
      <c r="N1300" s="8">
        <v>0</v>
      </c>
      <c r="P1300" s="8">
        <v>0</v>
      </c>
    </row>
    <row r="1301" spans="3:16" x14ac:dyDescent="0.25">
      <c r="D1301" s="3" t="s">
        <v>43</v>
      </c>
      <c r="F1301" s="7">
        <v>50299080</v>
      </c>
      <c r="H1301" s="8">
        <v>1986270.19</v>
      </c>
      <c r="J1301" s="8">
        <v>1986270.19</v>
      </c>
      <c r="L1301" s="8">
        <v>1977773.19</v>
      </c>
      <c r="N1301" s="8">
        <v>0</v>
      </c>
      <c r="P1301" s="8">
        <v>8497</v>
      </c>
    </row>
    <row r="1302" spans="3:16" x14ac:dyDescent="0.25">
      <c r="C1302" s="11" t="s">
        <v>803</v>
      </c>
      <c r="H1302" s="17">
        <f>SUM(H1303:H1307)</f>
        <v>225103.24</v>
      </c>
      <c r="J1302" s="17">
        <f>SUM(J1303:J1307)</f>
        <v>225103.24</v>
      </c>
      <c r="L1302" s="17">
        <f>SUM(L1303:L1307)</f>
        <v>225103.24</v>
      </c>
      <c r="N1302" s="17">
        <f>SUM(N1303:N1307)</f>
        <v>0</v>
      </c>
      <c r="P1302" s="17">
        <f>SUM(P1303:P1307)</f>
        <v>0</v>
      </c>
    </row>
    <row r="1303" spans="3:16" x14ac:dyDescent="0.25">
      <c r="D1303" s="3" t="s">
        <v>19</v>
      </c>
      <c r="F1303" s="7">
        <v>50202010</v>
      </c>
      <c r="H1303" s="8">
        <v>40860</v>
      </c>
      <c r="J1303" s="8">
        <v>40860</v>
      </c>
      <c r="L1303" s="8">
        <v>40860</v>
      </c>
      <c r="N1303" s="8">
        <v>0</v>
      </c>
      <c r="P1303" s="8">
        <v>0</v>
      </c>
    </row>
    <row r="1304" spans="3:16" x14ac:dyDescent="0.25">
      <c r="D1304" s="3" t="s">
        <v>36</v>
      </c>
      <c r="F1304" s="7">
        <v>50203010</v>
      </c>
      <c r="H1304" s="8">
        <v>4995</v>
      </c>
      <c r="J1304" s="8">
        <v>4995</v>
      </c>
      <c r="L1304" s="8">
        <v>4995</v>
      </c>
      <c r="N1304" s="8">
        <v>0</v>
      </c>
      <c r="P1304" s="8">
        <v>0</v>
      </c>
    </row>
    <row r="1305" spans="3:16" x14ac:dyDescent="0.25">
      <c r="D1305" s="3" t="s">
        <v>25</v>
      </c>
      <c r="F1305" s="7">
        <v>50211990</v>
      </c>
      <c r="H1305" s="8">
        <v>8889.24</v>
      </c>
      <c r="J1305" s="8">
        <v>8889.24</v>
      </c>
      <c r="L1305" s="8">
        <v>8889.24</v>
      </c>
      <c r="N1305" s="8">
        <v>0</v>
      </c>
      <c r="P1305" s="8">
        <v>0</v>
      </c>
    </row>
    <row r="1306" spans="3:16" x14ac:dyDescent="0.25">
      <c r="D1306" s="3" t="s">
        <v>38</v>
      </c>
      <c r="F1306" s="7">
        <v>50299030</v>
      </c>
      <c r="H1306" s="8">
        <v>31450</v>
      </c>
      <c r="J1306" s="8">
        <v>31450</v>
      </c>
      <c r="L1306" s="95">
        <v>31450</v>
      </c>
      <c r="N1306" s="8">
        <v>0</v>
      </c>
      <c r="P1306" s="8">
        <v>0</v>
      </c>
    </row>
    <row r="1307" spans="3:16" x14ac:dyDescent="0.25">
      <c r="D1307" s="3" t="s">
        <v>43</v>
      </c>
      <c r="F1307" s="7">
        <v>50299080</v>
      </c>
      <c r="H1307" s="8">
        <v>138909</v>
      </c>
      <c r="J1307" s="8">
        <v>138909</v>
      </c>
      <c r="L1307" s="8">
        <v>138909</v>
      </c>
      <c r="N1307" s="8">
        <v>0</v>
      </c>
      <c r="P1307" s="8">
        <v>0</v>
      </c>
    </row>
    <row r="1308" spans="3:16" x14ac:dyDescent="0.25">
      <c r="C1308" s="11" t="s">
        <v>804</v>
      </c>
      <c r="H1308" s="17">
        <f>SUM(H1309:H1311)</f>
        <v>97820</v>
      </c>
      <c r="J1308" s="17">
        <f>SUM(J1309:J1311)</f>
        <v>97820</v>
      </c>
      <c r="L1308" s="17">
        <f>SUM(L1309:L1311)</f>
        <v>47837</v>
      </c>
      <c r="N1308" s="17">
        <f>SUM(N1309:N1311)</f>
        <v>0</v>
      </c>
      <c r="P1308" s="17">
        <f>SUM(P1309:P1311)</f>
        <v>49983</v>
      </c>
    </row>
    <row r="1309" spans="3:16" x14ac:dyDescent="0.25">
      <c r="D1309" s="3" t="s">
        <v>19</v>
      </c>
      <c r="F1309" s="7">
        <v>50202010</v>
      </c>
      <c r="H1309" s="8">
        <v>17837</v>
      </c>
      <c r="J1309" s="8">
        <v>17837</v>
      </c>
      <c r="L1309" s="8">
        <v>17837</v>
      </c>
      <c r="N1309" s="8">
        <v>0</v>
      </c>
      <c r="P1309" s="8">
        <v>0</v>
      </c>
    </row>
    <row r="1310" spans="3:16" x14ac:dyDescent="0.25">
      <c r="D1310" s="3" t="s">
        <v>38</v>
      </c>
      <c r="F1310" s="7">
        <v>50299030</v>
      </c>
      <c r="H1310" s="8">
        <v>30000</v>
      </c>
      <c r="J1310" s="8">
        <v>30000</v>
      </c>
      <c r="L1310" s="8">
        <v>30000</v>
      </c>
      <c r="N1310" s="8">
        <v>0</v>
      </c>
      <c r="P1310" s="8">
        <v>0</v>
      </c>
    </row>
    <row r="1311" spans="3:16" x14ac:dyDescent="0.25">
      <c r="D1311" s="3" t="s">
        <v>43</v>
      </c>
      <c r="F1311" s="7">
        <v>50299080</v>
      </c>
      <c r="H1311" s="8">
        <v>49983</v>
      </c>
      <c r="J1311" s="8">
        <v>49983</v>
      </c>
      <c r="L1311" s="8">
        <v>0</v>
      </c>
      <c r="N1311" s="8">
        <v>0</v>
      </c>
      <c r="P1311" s="8">
        <v>49983</v>
      </c>
    </row>
    <row r="1312" spans="3:16" x14ac:dyDescent="0.25">
      <c r="C1312" s="11" t="s">
        <v>805</v>
      </c>
    </row>
    <row r="1313" spans="3:16" x14ac:dyDescent="0.25">
      <c r="D1313" s="3" t="s">
        <v>43</v>
      </c>
      <c r="F1313" s="7">
        <v>50299080</v>
      </c>
      <c r="H1313" s="17">
        <v>10000</v>
      </c>
      <c r="J1313" s="17">
        <v>10000</v>
      </c>
      <c r="L1313" s="17">
        <v>10000</v>
      </c>
      <c r="N1313" s="17">
        <v>0</v>
      </c>
      <c r="P1313" s="17">
        <v>0</v>
      </c>
    </row>
    <row r="1314" spans="3:16" x14ac:dyDescent="0.25">
      <c r="C1314" s="11" t="s">
        <v>114</v>
      </c>
      <c r="H1314" s="99">
        <f>SUM(H1315:H1320)</f>
        <v>502500</v>
      </c>
      <c r="J1314" s="99">
        <f>SUM(J1315:J1320)</f>
        <v>502500</v>
      </c>
      <c r="L1314" s="99">
        <f>SUM(L1315:L1320)</f>
        <v>502500</v>
      </c>
      <c r="N1314" s="99">
        <f>SUM(N1315:N1320)</f>
        <v>0</v>
      </c>
      <c r="P1314" s="99">
        <f>SUM(P1315:P1320)</f>
        <v>0</v>
      </c>
    </row>
    <row r="1315" spans="3:16" x14ac:dyDescent="0.25">
      <c r="D1315" s="3" t="s">
        <v>760</v>
      </c>
      <c r="F1315" s="7">
        <v>50202010</v>
      </c>
      <c r="H1315" s="8">
        <v>25000</v>
      </c>
      <c r="J1315" s="8">
        <v>25000</v>
      </c>
      <c r="L1315" s="8">
        <v>25000</v>
      </c>
      <c r="N1315" s="8">
        <v>0</v>
      </c>
      <c r="P1315" s="8">
        <v>0</v>
      </c>
    </row>
    <row r="1316" spans="3:16" x14ac:dyDescent="0.25">
      <c r="D1316" s="3" t="s">
        <v>19</v>
      </c>
      <c r="F1316" s="7">
        <v>50202010</v>
      </c>
      <c r="H1316" s="8">
        <v>70000</v>
      </c>
      <c r="J1316" s="8">
        <v>70000</v>
      </c>
      <c r="L1316" s="8">
        <v>70000</v>
      </c>
      <c r="N1316" s="8">
        <v>0</v>
      </c>
      <c r="P1316" s="8">
        <v>0</v>
      </c>
    </row>
    <row r="1317" spans="3:16" x14ac:dyDescent="0.25">
      <c r="D1317" s="3" t="s">
        <v>99</v>
      </c>
      <c r="F1317" s="7">
        <v>50203990</v>
      </c>
      <c r="H1317" s="8">
        <v>49530</v>
      </c>
      <c r="J1317" s="8">
        <v>49530</v>
      </c>
      <c r="L1317" s="8">
        <v>49530</v>
      </c>
      <c r="N1317" s="8">
        <v>0</v>
      </c>
      <c r="P1317" s="8">
        <v>0</v>
      </c>
    </row>
    <row r="1318" spans="3:16" x14ac:dyDescent="0.25">
      <c r="D1318" s="3" t="s">
        <v>25</v>
      </c>
      <c r="F1318" s="7">
        <v>50211990</v>
      </c>
      <c r="H1318" s="8">
        <v>8000</v>
      </c>
      <c r="J1318" s="8">
        <v>8000</v>
      </c>
      <c r="L1318" s="8">
        <v>8000</v>
      </c>
      <c r="N1318" s="8">
        <v>0</v>
      </c>
      <c r="P1318" s="8">
        <v>0</v>
      </c>
    </row>
    <row r="1319" spans="3:16" x14ac:dyDescent="0.25">
      <c r="D1319" s="3" t="s">
        <v>735</v>
      </c>
      <c r="F1319" s="7">
        <v>50299030</v>
      </c>
      <c r="H1319" s="8">
        <v>100000</v>
      </c>
      <c r="J1319" s="8">
        <v>100000</v>
      </c>
      <c r="L1319" s="8">
        <v>100000</v>
      </c>
      <c r="N1319" s="8">
        <v>0</v>
      </c>
      <c r="P1319" s="8">
        <v>0</v>
      </c>
    </row>
    <row r="1320" spans="3:16" x14ac:dyDescent="0.25">
      <c r="D1320" s="3" t="s">
        <v>43</v>
      </c>
      <c r="F1320" s="7">
        <v>50299080</v>
      </c>
      <c r="H1320" s="8">
        <v>249970</v>
      </c>
      <c r="J1320" s="8">
        <v>249970</v>
      </c>
      <c r="L1320" s="8">
        <v>249970</v>
      </c>
      <c r="N1320" s="8">
        <v>0</v>
      </c>
      <c r="P1320" s="8">
        <v>0</v>
      </c>
    </row>
    <row r="1322" spans="3:16" x14ac:dyDescent="0.25">
      <c r="C1322" s="11" t="s">
        <v>318</v>
      </c>
      <c r="H1322" s="17">
        <f>+H1182+H1167</f>
        <v>49401665.100000001</v>
      </c>
      <c r="I1322" s="8" t="s">
        <v>0</v>
      </c>
      <c r="J1322" s="17">
        <f>+J1182+J1167</f>
        <v>49401665.100000001</v>
      </c>
      <c r="K1322" s="8" t="s">
        <v>0</v>
      </c>
      <c r="L1322" s="17">
        <f>+L1182+L1167</f>
        <v>49301598.370000005</v>
      </c>
      <c r="M1322" s="8" t="s">
        <v>0</v>
      </c>
      <c r="N1322" s="17">
        <f>+N1182+N1167</f>
        <v>0</v>
      </c>
      <c r="O1322" s="8" t="s">
        <v>0</v>
      </c>
      <c r="P1322" s="17">
        <f>+P1182+P1167</f>
        <v>100066.73</v>
      </c>
    </row>
    <row r="1324" spans="3:16" x14ac:dyDescent="0.25">
      <c r="C1324" s="11" t="s">
        <v>320</v>
      </c>
      <c r="H1324" s="17">
        <f>SUM(H1325:H1327)</f>
        <v>239237058.47999999</v>
      </c>
      <c r="J1324" s="17">
        <f>SUM(J1325:J1327)</f>
        <v>239181358.75</v>
      </c>
      <c r="L1324" s="17">
        <f>SUM(L1325:L1327)</f>
        <v>228835552.00999999</v>
      </c>
      <c r="N1324" s="17">
        <f>SUM(N1325:N1327)</f>
        <v>55699.73000000164</v>
      </c>
      <c r="P1324" s="17">
        <f>SUM(P1325:P1327)</f>
        <v>10345806.74000001</v>
      </c>
    </row>
    <row r="1325" spans="3:16" x14ac:dyDescent="0.25">
      <c r="D1325" s="3" t="s">
        <v>7</v>
      </c>
      <c r="H1325" s="8">
        <f>+H1330+H1406+H1476+H1517+H1558+H1583</f>
        <v>92600246.560000002</v>
      </c>
      <c r="J1325" s="8">
        <f>+J1330+J1406+J1476+J1517+J1558+J1583</f>
        <v>92600246.560000002</v>
      </c>
      <c r="L1325" s="8">
        <f>+L1330+L1406+L1476+L1517+L1558+L1583</f>
        <v>88644757.86999999</v>
      </c>
      <c r="N1325" s="8">
        <f>+N1330+N1406+N1476+N1517+N1558+N1583</f>
        <v>0</v>
      </c>
      <c r="P1325" s="8">
        <f>+P1330+P1406+P1476+P1517+P1558+P1583</f>
        <v>3955488.6900000004</v>
      </c>
    </row>
    <row r="1326" spans="3:16" x14ac:dyDescent="0.25">
      <c r="D1326" s="3" t="s">
        <v>17</v>
      </c>
      <c r="H1326" s="8">
        <f>+H1344+H1418+H1489+H1533+H1570+H1585+H1598</f>
        <v>78625127.919999987</v>
      </c>
      <c r="J1326" s="8">
        <f>+J1344+J1418+J1489+J1533+J1570+J1585+J1598</f>
        <v>78597642.189999998</v>
      </c>
      <c r="L1326" s="8">
        <f>+L1344+L1418+L1489+L1533+L1570+L1585+L1598</f>
        <v>77298206.040000007</v>
      </c>
      <c r="N1326" s="8">
        <f>+N1344+N1418+N1489+N1533+N1570+N1585+N1598</f>
        <v>27485.73000000164</v>
      </c>
      <c r="P1326" s="8">
        <f>+P1344+P1418+P1489+P1533+P1570+P1585+P1598</f>
        <v>1299436.1500000001</v>
      </c>
    </row>
    <row r="1327" spans="3:16" x14ac:dyDescent="0.25">
      <c r="D1327" s="3" t="s">
        <v>52</v>
      </c>
      <c r="H1327" s="8">
        <f>+H1543+H1600</f>
        <v>68011684</v>
      </c>
      <c r="J1327" s="8">
        <f>+J1543+J1600</f>
        <v>67983470</v>
      </c>
      <c r="L1327" s="8">
        <f>+L1543+L1600</f>
        <v>62892588.099999994</v>
      </c>
      <c r="N1327" s="8">
        <f>+N1543+N1600</f>
        <v>28214</v>
      </c>
      <c r="P1327" s="8">
        <f>+P1543+P1600</f>
        <v>5090881.9000000088</v>
      </c>
    </row>
    <row r="1329" spans="2:16" x14ac:dyDescent="0.25">
      <c r="B1329" s="11" t="s">
        <v>321</v>
      </c>
      <c r="F1329" s="7" t="s">
        <v>322</v>
      </c>
    </row>
    <row r="1330" spans="2:16" x14ac:dyDescent="0.25">
      <c r="B1330" s="11" t="s">
        <v>160</v>
      </c>
      <c r="F1330" s="7">
        <v>100</v>
      </c>
      <c r="H1330" s="17">
        <f>SUM(H1331:H1343)</f>
        <v>12870490.289999999</v>
      </c>
      <c r="J1330" s="17">
        <f>SUM(J1331:J1343)</f>
        <v>12870490.289999999</v>
      </c>
      <c r="L1330" s="17">
        <f>SUM(L1331:L1343)</f>
        <v>12870490.289999999</v>
      </c>
      <c r="N1330" s="17">
        <f>SUM(N1331:N1343)</f>
        <v>0</v>
      </c>
      <c r="P1330" s="17">
        <f>SUM(P1331:P1343)</f>
        <v>0</v>
      </c>
    </row>
    <row r="1331" spans="2:16" x14ac:dyDescent="0.25">
      <c r="D1331" s="3" t="s">
        <v>8</v>
      </c>
      <c r="F1331" s="7">
        <v>50101010</v>
      </c>
      <c r="H1331" s="8">
        <v>8935241</v>
      </c>
      <c r="J1331" s="8">
        <v>8935241</v>
      </c>
      <c r="L1331" s="8">
        <v>8935241</v>
      </c>
      <c r="N1331" s="8">
        <v>0</v>
      </c>
      <c r="P1331" s="8">
        <v>0</v>
      </c>
    </row>
    <row r="1332" spans="2:16" x14ac:dyDescent="0.25">
      <c r="D1332" s="3" t="s">
        <v>162</v>
      </c>
      <c r="F1332" s="7">
        <v>50102010</v>
      </c>
      <c r="H1332" s="8">
        <v>545866.67000000004</v>
      </c>
      <c r="J1332" s="8">
        <v>545866.67000000004</v>
      </c>
      <c r="L1332" s="8">
        <v>545866.67000000004</v>
      </c>
      <c r="N1332" s="8">
        <v>0</v>
      </c>
      <c r="P1332" s="8">
        <v>0</v>
      </c>
    </row>
    <row r="1333" spans="2:16" x14ac:dyDescent="0.25">
      <c r="D1333" s="3" t="s">
        <v>776</v>
      </c>
      <c r="F1333" s="7">
        <v>50102020</v>
      </c>
      <c r="H1333" s="8">
        <v>102000</v>
      </c>
      <c r="J1333" s="8">
        <v>102000</v>
      </c>
      <c r="L1333" s="8">
        <v>102000</v>
      </c>
      <c r="N1333" s="8">
        <v>0</v>
      </c>
      <c r="P1333" s="8">
        <v>0</v>
      </c>
    </row>
    <row r="1334" spans="2:16" x14ac:dyDescent="0.25">
      <c r="D1334" s="3" t="s">
        <v>60</v>
      </c>
      <c r="F1334" s="7">
        <v>50102030</v>
      </c>
      <c r="H1334" s="8">
        <v>145250</v>
      </c>
      <c r="J1334" s="8">
        <v>145250</v>
      </c>
      <c r="L1334" s="8">
        <v>145250</v>
      </c>
      <c r="N1334" s="8">
        <v>0</v>
      </c>
      <c r="P1334" s="8">
        <v>0</v>
      </c>
    </row>
    <row r="1335" spans="2:16" x14ac:dyDescent="0.25">
      <c r="D1335" s="3" t="s">
        <v>11</v>
      </c>
      <c r="F1335" s="7">
        <v>50102040</v>
      </c>
      <c r="H1335" s="8">
        <v>117000</v>
      </c>
      <c r="J1335" s="8">
        <v>117000</v>
      </c>
      <c r="L1335" s="8">
        <v>117000</v>
      </c>
      <c r="N1335" s="8">
        <v>0</v>
      </c>
      <c r="P1335" s="8">
        <v>0</v>
      </c>
    </row>
    <row r="1336" spans="2:16" x14ac:dyDescent="0.25">
      <c r="D1336" s="3" t="s">
        <v>61</v>
      </c>
      <c r="F1336" s="7">
        <v>50102120</v>
      </c>
      <c r="H1336" s="8">
        <v>30000</v>
      </c>
      <c r="J1336" s="8">
        <v>30000</v>
      </c>
      <c r="L1336" s="8">
        <v>30000</v>
      </c>
      <c r="N1336" s="8">
        <v>0</v>
      </c>
      <c r="P1336" s="8">
        <v>0</v>
      </c>
    </row>
    <row r="1337" spans="2:16" x14ac:dyDescent="0.25">
      <c r="D1337" s="3" t="s">
        <v>12</v>
      </c>
      <c r="F1337" s="7">
        <v>50102140</v>
      </c>
      <c r="H1337" s="8">
        <v>1546591</v>
      </c>
      <c r="J1337" s="8">
        <v>1546591</v>
      </c>
      <c r="L1337" s="8">
        <v>1546591</v>
      </c>
      <c r="N1337" s="8">
        <v>0</v>
      </c>
      <c r="P1337" s="8">
        <v>0</v>
      </c>
    </row>
    <row r="1338" spans="2:16" x14ac:dyDescent="0.25">
      <c r="D1338" s="3" t="s">
        <v>13</v>
      </c>
      <c r="F1338" s="7">
        <v>50102150</v>
      </c>
      <c r="H1338" s="8">
        <v>115000</v>
      </c>
      <c r="J1338" s="8">
        <v>115000</v>
      </c>
      <c r="L1338" s="8">
        <v>115000</v>
      </c>
      <c r="N1338" s="8">
        <v>0</v>
      </c>
      <c r="P1338" s="8">
        <v>0</v>
      </c>
    </row>
    <row r="1339" spans="2:16" x14ac:dyDescent="0.25">
      <c r="D1339" s="3" t="s">
        <v>164</v>
      </c>
      <c r="F1339" s="7">
        <v>50103010</v>
      </c>
      <c r="H1339" s="8">
        <v>1072229.1200000001</v>
      </c>
      <c r="J1339" s="8">
        <v>1072229.1200000001</v>
      </c>
      <c r="L1339" s="8">
        <v>1072229.1200000001</v>
      </c>
      <c r="N1339" s="8">
        <v>0</v>
      </c>
      <c r="P1339" s="8">
        <v>0</v>
      </c>
    </row>
    <row r="1340" spans="2:16" x14ac:dyDescent="0.25">
      <c r="D1340" s="3" t="s">
        <v>14</v>
      </c>
      <c r="F1340" s="7">
        <v>50103020</v>
      </c>
      <c r="H1340" s="8">
        <v>27200</v>
      </c>
      <c r="J1340" s="8">
        <v>27200</v>
      </c>
      <c r="L1340" s="8">
        <v>27200</v>
      </c>
      <c r="N1340" s="8">
        <v>0</v>
      </c>
      <c r="P1340" s="8">
        <v>0</v>
      </c>
    </row>
    <row r="1341" spans="2:16" x14ac:dyDescent="0.25">
      <c r="D1341" s="3" t="s">
        <v>15</v>
      </c>
      <c r="F1341" s="7">
        <v>50103030</v>
      </c>
      <c r="H1341" s="8">
        <v>91912.5</v>
      </c>
      <c r="J1341" s="8">
        <v>91912.5</v>
      </c>
      <c r="L1341" s="8">
        <v>91912.5</v>
      </c>
      <c r="N1341" s="8">
        <v>0</v>
      </c>
      <c r="P1341" s="8">
        <v>0</v>
      </c>
    </row>
    <row r="1342" spans="2:16" x14ac:dyDescent="0.25">
      <c r="D1342" s="3" t="s">
        <v>165</v>
      </c>
      <c r="F1342" s="7">
        <v>50103040</v>
      </c>
      <c r="H1342" s="8">
        <v>27200</v>
      </c>
      <c r="J1342" s="8">
        <v>27200</v>
      </c>
      <c r="L1342" s="8">
        <v>27200</v>
      </c>
      <c r="N1342" s="8">
        <v>0</v>
      </c>
      <c r="P1342" s="8">
        <v>0</v>
      </c>
    </row>
    <row r="1343" spans="2:16" x14ac:dyDescent="0.25">
      <c r="D1343" s="3" t="s">
        <v>16</v>
      </c>
      <c r="F1343" s="7">
        <v>50104990</v>
      </c>
      <c r="H1343" s="8">
        <v>115000</v>
      </c>
      <c r="J1343" s="8">
        <v>115000</v>
      </c>
      <c r="L1343" s="8">
        <v>115000</v>
      </c>
      <c r="N1343" s="8">
        <v>0</v>
      </c>
      <c r="P1343" s="8">
        <v>0</v>
      </c>
    </row>
    <row r="1344" spans="2:16" x14ac:dyDescent="0.25">
      <c r="B1344" s="11" t="s">
        <v>166</v>
      </c>
      <c r="F1344" s="7">
        <v>200</v>
      </c>
      <c r="H1344" s="17">
        <f>SUM(H1345:H1353,H1355,H1364,H1373,H1376,H1386,H1393,H1398,H1377)</f>
        <v>12298280.719999999</v>
      </c>
      <c r="J1344" s="17">
        <f>SUM(J1345:J1353,J1355,J1364,J1373,J1376,J1386,J1393,J1398,J1377)</f>
        <v>12290795</v>
      </c>
      <c r="L1344" s="17">
        <f>SUM(L1345:L1353,L1355,L1364,L1373,L1376,L1386,L1393,L1398,L1377)</f>
        <v>11969578.389999999</v>
      </c>
      <c r="N1344" s="17">
        <f>SUM(N1345:N1353,N1355,N1364,N1373,N1376,N1386,N1393,N1398,N1377)</f>
        <v>7485.72</v>
      </c>
      <c r="P1344" s="17">
        <f>SUM(P1345:P1353,P1355,P1364,P1373,P1376,P1386,P1393,P1398,P1377)</f>
        <v>321216.61</v>
      </c>
    </row>
    <row r="1345" spans="3:16" x14ac:dyDescent="0.25">
      <c r="D1345" s="3" t="s">
        <v>21</v>
      </c>
      <c r="F1345" s="7">
        <v>50204010</v>
      </c>
      <c r="H1345" s="8">
        <v>15000</v>
      </c>
      <c r="J1345" s="8">
        <v>15000</v>
      </c>
      <c r="L1345" s="8">
        <v>11088</v>
      </c>
      <c r="N1345" s="8">
        <v>0</v>
      </c>
      <c r="P1345" s="8">
        <v>3912</v>
      </c>
    </row>
    <row r="1346" spans="3:16" x14ac:dyDescent="0.25">
      <c r="D1346" s="3" t="s">
        <v>63</v>
      </c>
      <c r="F1346" s="7">
        <v>50204020</v>
      </c>
      <c r="H1346" s="8">
        <v>685000</v>
      </c>
      <c r="J1346" s="8">
        <v>685000</v>
      </c>
      <c r="L1346" s="8">
        <v>644882.44999999995</v>
      </c>
      <c r="N1346" s="8">
        <v>0</v>
      </c>
      <c r="P1346" s="8">
        <v>40117.550000000003</v>
      </c>
    </row>
    <row r="1347" spans="3:16" x14ac:dyDescent="0.25">
      <c r="D1347" s="3" t="s">
        <v>22</v>
      </c>
      <c r="F1347" s="7">
        <v>50205020</v>
      </c>
      <c r="H1347" s="8">
        <v>84000</v>
      </c>
      <c r="J1347" s="8">
        <v>84000</v>
      </c>
      <c r="L1347" s="8">
        <v>84000</v>
      </c>
      <c r="N1347" s="8">
        <v>0</v>
      </c>
      <c r="P1347" s="8">
        <v>0</v>
      </c>
    </row>
    <row r="1348" spans="3:16" x14ac:dyDescent="0.25">
      <c r="D1348" s="3" t="s">
        <v>666</v>
      </c>
      <c r="F1348" s="7">
        <v>50212990</v>
      </c>
      <c r="H1348" s="8">
        <v>7485.72</v>
      </c>
      <c r="J1348" s="8">
        <v>0</v>
      </c>
      <c r="L1348" s="8">
        <v>0</v>
      </c>
      <c r="N1348" s="8">
        <v>7485.72</v>
      </c>
      <c r="P1348" s="8">
        <v>0</v>
      </c>
    </row>
    <row r="1349" spans="3:16" x14ac:dyDescent="0.25">
      <c r="D1349" s="3" t="s">
        <v>27</v>
      </c>
      <c r="F1349" s="7">
        <v>50213050</v>
      </c>
      <c r="H1349" s="8">
        <v>123500</v>
      </c>
      <c r="J1349" s="8">
        <v>123500</v>
      </c>
      <c r="L1349" s="8">
        <v>123500</v>
      </c>
      <c r="N1349" s="8">
        <v>0</v>
      </c>
      <c r="P1349" s="8">
        <v>0</v>
      </c>
    </row>
    <row r="1350" spans="3:16" x14ac:dyDescent="0.25">
      <c r="D1350" s="3" t="s">
        <v>761</v>
      </c>
      <c r="F1350" s="7">
        <v>50216020</v>
      </c>
      <c r="H1350" s="8">
        <v>7500</v>
      </c>
      <c r="J1350" s="8">
        <v>7500</v>
      </c>
      <c r="L1350" s="8">
        <v>7500</v>
      </c>
      <c r="N1350" s="8">
        <v>0</v>
      </c>
      <c r="P1350" s="8">
        <v>0</v>
      </c>
    </row>
    <row r="1351" spans="3:16" x14ac:dyDescent="0.25">
      <c r="D1351" s="3" t="s">
        <v>83</v>
      </c>
      <c r="F1351" s="7">
        <v>50299020</v>
      </c>
      <c r="H1351" s="8">
        <v>12691</v>
      </c>
      <c r="J1351" s="8">
        <v>12691</v>
      </c>
      <c r="L1351" s="8">
        <v>12691</v>
      </c>
      <c r="N1351" s="8">
        <v>0</v>
      </c>
      <c r="P1351" s="8">
        <v>0</v>
      </c>
    </row>
    <row r="1352" spans="3:16" x14ac:dyDescent="0.25">
      <c r="D1352" s="3" t="s">
        <v>38</v>
      </c>
      <c r="F1352" s="7">
        <v>50299030</v>
      </c>
      <c r="H1352" s="8">
        <v>65375</v>
      </c>
      <c r="J1352" s="8">
        <v>65375</v>
      </c>
      <c r="L1352" s="8">
        <v>65375</v>
      </c>
      <c r="N1352" s="8">
        <v>0</v>
      </c>
      <c r="P1352" s="8">
        <v>0</v>
      </c>
    </row>
    <row r="1353" spans="3:16" x14ac:dyDescent="0.25">
      <c r="D1353" s="3" t="s">
        <v>55</v>
      </c>
      <c r="F1353" s="7">
        <v>50299070</v>
      </c>
      <c r="H1353" s="8">
        <v>3542</v>
      </c>
      <c r="J1353" s="8">
        <v>3542</v>
      </c>
      <c r="L1353" s="8">
        <v>3542</v>
      </c>
      <c r="N1353" s="8">
        <v>0</v>
      </c>
      <c r="P1353" s="8">
        <v>0</v>
      </c>
    </row>
    <row r="1354" spans="3:16" x14ac:dyDescent="0.25">
      <c r="C1354" s="11" t="s">
        <v>177</v>
      </c>
    </row>
    <row r="1355" spans="3:16" x14ac:dyDescent="0.25">
      <c r="C1355" s="11" t="s">
        <v>806</v>
      </c>
      <c r="H1355" s="17">
        <f>SUM(H1356:H1363)</f>
        <v>548006</v>
      </c>
      <c r="J1355" s="17">
        <f>SUM(J1356:J1363)</f>
        <v>548006</v>
      </c>
      <c r="L1355" s="17">
        <f>SUM(L1356:L1363)</f>
        <v>548006</v>
      </c>
      <c r="N1355" s="17">
        <f>SUM(N1356:N1363)</f>
        <v>0</v>
      </c>
      <c r="P1355" s="17">
        <f>SUM(P1356:P1363)</f>
        <v>0</v>
      </c>
    </row>
    <row r="1356" spans="3:16" x14ac:dyDescent="0.25">
      <c r="D1356" s="3" t="s">
        <v>760</v>
      </c>
      <c r="F1356" s="7">
        <v>50201010</v>
      </c>
      <c r="H1356" s="8">
        <v>48000</v>
      </c>
      <c r="J1356" s="8">
        <v>48000</v>
      </c>
      <c r="L1356" s="8">
        <v>48000</v>
      </c>
      <c r="N1356" s="8">
        <v>0</v>
      </c>
      <c r="P1356" s="8">
        <v>0</v>
      </c>
    </row>
    <row r="1357" spans="3:16" x14ac:dyDescent="0.25">
      <c r="D1357" s="3" t="s">
        <v>19</v>
      </c>
      <c r="F1357" s="7">
        <v>50202010</v>
      </c>
      <c r="H1357" s="8">
        <v>136907</v>
      </c>
      <c r="J1357" s="8">
        <v>136907</v>
      </c>
      <c r="L1357" s="8">
        <v>136907</v>
      </c>
      <c r="N1357" s="8">
        <v>0</v>
      </c>
      <c r="P1357" s="8">
        <v>0</v>
      </c>
    </row>
    <row r="1358" spans="3:16" x14ac:dyDescent="0.25">
      <c r="D1358" s="3" t="s">
        <v>770</v>
      </c>
      <c r="F1358" s="7">
        <v>50203090</v>
      </c>
      <c r="H1358" s="8">
        <v>35000</v>
      </c>
      <c r="J1358" s="8">
        <v>35000</v>
      </c>
      <c r="L1358" s="8">
        <v>35000</v>
      </c>
      <c r="N1358" s="8">
        <v>0</v>
      </c>
      <c r="P1358" s="8">
        <v>0</v>
      </c>
    </row>
    <row r="1359" spans="3:16" x14ac:dyDescent="0.25">
      <c r="D1359" s="3" t="s">
        <v>37</v>
      </c>
      <c r="F1359" s="7">
        <v>50203990</v>
      </c>
      <c r="H1359" s="8">
        <v>15000</v>
      </c>
      <c r="J1359" s="8">
        <v>15000</v>
      </c>
      <c r="L1359" s="8">
        <v>15000</v>
      </c>
      <c r="N1359" s="8">
        <v>0</v>
      </c>
      <c r="P1359" s="8">
        <v>0</v>
      </c>
    </row>
    <row r="1360" spans="3:16" x14ac:dyDescent="0.25">
      <c r="D1360" s="3" t="s">
        <v>25</v>
      </c>
      <c r="F1360" s="7">
        <v>50211990</v>
      </c>
      <c r="H1360" s="8">
        <v>40000</v>
      </c>
      <c r="J1360" s="8">
        <v>40000</v>
      </c>
      <c r="L1360" s="8">
        <v>40000</v>
      </c>
      <c r="N1360" s="8">
        <v>0</v>
      </c>
      <c r="P1360" s="8">
        <v>0</v>
      </c>
    </row>
    <row r="1361" spans="3:16" x14ac:dyDescent="0.25">
      <c r="D1361" s="3" t="s">
        <v>91</v>
      </c>
      <c r="F1361" s="7">
        <v>50299020</v>
      </c>
      <c r="H1361" s="8">
        <v>38099</v>
      </c>
      <c r="J1361" s="8">
        <v>38099</v>
      </c>
      <c r="L1361" s="8">
        <v>38099</v>
      </c>
      <c r="N1361" s="8">
        <v>0</v>
      </c>
      <c r="P1361" s="8">
        <v>0</v>
      </c>
    </row>
    <row r="1362" spans="3:16" x14ac:dyDescent="0.25">
      <c r="D1362" s="3" t="s">
        <v>38</v>
      </c>
      <c r="F1362" s="7">
        <v>50299030</v>
      </c>
      <c r="H1362" s="8">
        <v>170000</v>
      </c>
      <c r="J1362" s="8">
        <v>170000</v>
      </c>
      <c r="L1362" s="8">
        <v>170000</v>
      </c>
      <c r="N1362" s="8">
        <v>0</v>
      </c>
      <c r="P1362" s="8">
        <v>0</v>
      </c>
    </row>
    <row r="1363" spans="3:16" x14ac:dyDescent="0.25">
      <c r="D1363" s="3" t="s">
        <v>43</v>
      </c>
      <c r="F1363" s="7">
        <v>50299080</v>
      </c>
      <c r="H1363" s="8">
        <v>65000</v>
      </c>
      <c r="J1363" s="8">
        <v>65000</v>
      </c>
      <c r="L1363" s="8">
        <v>65000</v>
      </c>
      <c r="N1363" s="8">
        <f>+H1363-J1363</f>
        <v>0</v>
      </c>
      <c r="P1363" s="8">
        <f>+J1363-L1363</f>
        <v>0</v>
      </c>
    </row>
    <row r="1364" spans="3:16" x14ac:dyDescent="0.25">
      <c r="C1364" s="11" t="s">
        <v>115</v>
      </c>
      <c r="H1364" s="17">
        <f>SUM(H1365:H1371)</f>
        <v>833642</v>
      </c>
      <c r="J1364" s="17">
        <f>SUM(J1365:J1371)</f>
        <v>833642</v>
      </c>
      <c r="L1364" s="17">
        <f>SUM(L1365:L1371)</f>
        <v>797795.42999999993</v>
      </c>
      <c r="N1364" s="17">
        <f>SUM(N1365:N1371)</f>
        <v>0</v>
      </c>
      <c r="P1364" s="17">
        <f>SUM(P1365:P1371)</f>
        <v>35846.57</v>
      </c>
    </row>
    <row r="1365" spans="3:16" x14ac:dyDescent="0.25">
      <c r="D1365" s="3" t="s">
        <v>760</v>
      </c>
      <c r="F1365" s="7">
        <v>50201010</v>
      </c>
      <c r="H1365" s="8">
        <v>24000</v>
      </c>
      <c r="J1365" s="8">
        <v>24000</v>
      </c>
      <c r="L1365" s="8">
        <v>24000</v>
      </c>
      <c r="N1365" s="8">
        <v>0</v>
      </c>
      <c r="P1365" s="8">
        <v>0</v>
      </c>
    </row>
    <row r="1366" spans="3:16" x14ac:dyDescent="0.25">
      <c r="D1366" s="3" t="s">
        <v>19</v>
      </c>
      <c r="F1366" s="7">
        <v>50202010</v>
      </c>
      <c r="H1366" s="8">
        <v>144850</v>
      </c>
      <c r="J1366" s="8">
        <v>144850</v>
      </c>
      <c r="L1366" s="8">
        <v>144850</v>
      </c>
      <c r="N1366" s="8">
        <v>0</v>
      </c>
      <c r="P1366" s="8">
        <v>0</v>
      </c>
    </row>
    <row r="1367" spans="3:16" x14ac:dyDescent="0.25">
      <c r="D1367" s="3" t="s">
        <v>770</v>
      </c>
      <c r="F1367" s="7">
        <v>50203090</v>
      </c>
      <c r="H1367" s="8">
        <v>32400</v>
      </c>
      <c r="J1367" s="8">
        <v>32400</v>
      </c>
      <c r="L1367" s="8">
        <v>32399.37</v>
      </c>
      <c r="N1367" s="8">
        <v>0</v>
      </c>
      <c r="P1367" s="8">
        <v>0.63</v>
      </c>
    </row>
    <row r="1368" spans="3:16" x14ac:dyDescent="0.25">
      <c r="D1368" s="3" t="s">
        <v>118</v>
      </c>
      <c r="F1368" s="7">
        <v>50203100</v>
      </c>
      <c r="H1368" s="8">
        <v>242528</v>
      </c>
      <c r="J1368" s="8">
        <v>242528</v>
      </c>
      <c r="L1368" s="8">
        <v>242528</v>
      </c>
      <c r="N1368" s="8">
        <v>0</v>
      </c>
      <c r="P1368" s="8">
        <v>0</v>
      </c>
    </row>
    <row r="1369" spans="3:16" x14ac:dyDescent="0.25">
      <c r="D1369" s="3" t="s">
        <v>63</v>
      </c>
      <c r="F1369" s="7">
        <v>50204020</v>
      </c>
      <c r="H1369" s="8">
        <v>29600</v>
      </c>
      <c r="J1369" s="8">
        <v>29600</v>
      </c>
      <c r="L1369" s="8">
        <v>23254.23</v>
      </c>
      <c r="N1369" s="8">
        <v>0</v>
      </c>
      <c r="P1369" s="8">
        <v>6345.77</v>
      </c>
    </row>
    <row r="1370" spans="3:16" x14ac:dyDescent="0.25">
      <c r="D1370" s="3" t="s">
        <v>26</v>
      </c>
      <c r="F1370" s="7">
        <v>50212990</v>
      </c>
      <c r="H1370" s="8">
        <v>330264</v>
      </c>
      <c r="J1370" s="8">
        <v>330264</v>
      </c>
      <c r="L1370" s="8">
        <v>300763.83</v>
      </c>
      <c r="N1370" s="8">
        <v>0</v>
      </c>
      <c r="P1370" s="8">
        <v>29500.17</v>
      </c>
    </row>
    <row r="1371" spans="3:16" x14ac:dyDescent="0.25">
      <c r="D1371" s="3" t="s">
        <v>38</v>
      </c>
      <c r="F1371" s="7">
        <v>50299030</v>
      </c>
      <c r="H1371" s="8">
        <v>30000</v>
      </c>
      <c r="J1371" s="8">
        <v>30000</v>
      </c>
      <c r="L1371" s="8">
        <v>30000</v>
      </c>
      <c r="N1371" s="8">
        <v>0</v>
      </c>
      <c r="P1371" s="8">
        <v>0</v>
      </c>
    </row>
    <row r="1372" spans="3:16" x14ac:dyDescent="0.25">
      <c r="C1372" s="11" t="s">
        <v>116</v>
      </c>
    </row>
    <row r="1373" spans="3:16" x14ac:dyDescent="0.25">
      <c r="D1373" s="3" t="s">
        <v>43</v>
      </c>
      <c r="F1373" s="7">
        <v>50299080</v>
      </c>
      <c r="H1373" s="17">
        <v>1000000</v>
      </c>
      <c r="J1373" s="17">
        <v>1000000</v>
      </c>
      <c r="L1373" s="17">
        <v>1000000</v>
      </c>
      <c r="N1373" s="17">
        <v>0</v>
      </c>
      <c r="P1373" s="17">
        <v>0</v>
      </c>
    </row>
    <row r="1374" spans="3:16" x14ac:dyDescent="0.25">
      <c r="C1374" s="11" t="s">
        <v>807</v>
      </c>
    </row>
    <row r="1375" spans="3:16" x14ac:dyDescent="0.25">
      <c r="C1375" s="11" t="s">
        <v>733</v>
      </c>
    </row>
    <row r="1376" spans="3:16" x14ac:dyDescent="0.25">
      <c r="D1376" s="3" t="s">
        <v>43</v>
      </c>
      <c r="F1376" s="7">
        <v>50299080</v>
      </c>
      <c r="H1376" s="17">
        <v>1000000</v>
      </c>
      <c r="J1376" s="17">
        <v>1000000</v>
      </c>
      <c r="L1376" s="17">
        <v>1000000</v>
      </c>
      <c r="N1376" s="17">
        <v>0</v>
      </c>
      <c r="P1376" s="17">
        <v>0</v>
      </c>
    </row>
    <row r="1377" spans="3:16" x14ac:dyDescent="0.25">
      <c r="C1377" s="11" t="s">
        <v>327</v>
      </c>
      <c r="H1377" s="99">
        <f>SUM(H1378:H1384)</f>
        <v>561288</v>
      </c>
      <c r="J1377" s="99">
        <f>SUM(J1378:J1384)</f>
        <v>561288</v>
      </c>
      <c r="L1377" s="99">
        <f>SUM(L1378:L1384)</f>
        <v>561288</v>
      </c>
      <c r="N1377" s="100">
        <f>SUM(N1378:N1384)</f>
        <v>0</v>
      </c>
      <c r="P1377" s="100">
        <f>SUM(P1378:P1384)</f>
        <v>0</v>
      </c>
    </row>
    <row r="1378" spans="3:16" x14ac:dyDescent="0.25">
      <c r="D1378" s="3" t="s">
        <v>760</v>
      </c>
      <c r="F1378" s="7">
        <v>50201010</v>
      </c>
      <c r="H1378" s="8">
        <v>50000</v>
      </c>
      <c r="J1378" s="8">
        <v>50000</v>
      </c>
      <c r="L1378" s="8">
        <v>50000</v>
      </c>
      <c r="N1378" s="8">
        <v>0</v>
      </c>
      <c r="P1378" s="8">
        <f>+J1378-L1378</f>
        <v>0</v>
      </c>
    </row>
    <row r="1379" spans="3:16" x14ac:dyDescent="0.25">
      <c r="D1379" s="3" t="s">
        <v>19</v>
      </c>
      <c r="F1379" s="7">
        <v>50202010</v>
      </c>
      <c r="H1379" s="8">
        <v>212500</v>
      </c>
      <c r="J1379" s="8">
        <v>212500</v>
      </c>
      <c r="L1379" s="8">
        <v>212500</v>
      </c>
      <c r="N1379" s="8">
        <v>0</v>
      </c>
      <c r="P1379" s="8">
        <f t="shared" ref="P1379:P1384" si="8">+J1379-L1379</f>
        <v>0</v>
      </c>
    </row>
    <row r="1380" spans="3:16" x14ac:dyDescent="0.25">
      <c r="D1380" s="3" t="s">
        <v>19</v>
      </c>
      <c r="F1380" s="7">
        <v>50202010</v>
      </c>
      <c r="H1380" s="8">
        <v>80545</v>
      </c>
      <c r="J1380" s="8">
        <v>80545</v>
      </c>
      <c r="L1380" s="8">
        <v>80545</v>
      </c>
      <c r="N1380" s="8">
        <v>0</v>
      </c>
      <c r="P1380" s="8">
        <f t="shared" si="8"/>
        <v>0</v>
      </c>
    </row>
    <row r="1381" spans="3:16" x14ac:dyDescent="0.25">
      <c r="D1381" s="3" t="s">
        <v>37</v>
      </c>
      <c r="F1381" s="7">
        <v>50203990</v>
      </c>
      <c r="H1381" s="8">
        <v>30000</v>
      </c>
      <c r="J1381" s="8">
        <v>30000</v>
      </c>
      <c r="L1381" s="8">
        <v>30000</v>
      </c>
      <c r="N1381" s="8">
        <v>0</v>
      </c>
      <c r="P1381" s="8">
        <f t="shared" si="8"/>
        <v>0</v>
      </c>
    </row>
    <row r="1382" spans="3:16" x14ac:dyDescent="0.25">
      <c r="D1382" s="3" t="s">
        <v>25</v>
      </c>
      <c r="F1382" s="7">
        <v>50211990</v>
      </c>
      <c r="H1382" s="8">
        <v>24500</v>
      </c>
      <c r="J1382" s="8">
        <v>24500</v>
      </c>
      <c r="L1382" s="8">
        <v>24500</v>
      </c>
      <c r="N1382" s="8">
        <v>0</v>
      </c>
      <c r="P1382" s="8">
        <f t="shared" si="8"/>
        <v>0</v>
      </c>
    </row>
    <row r="1383" spans="3:16" x14ac:dyDescent="0.25">
      <c r="D1383" s="3" t="s">
        <v>91</v>
      </c>
      <c r="F1383" s="7">
        <v>50299020</v>
      </c>
      <c r="H1383" s="8">
        <v>13743</v>
      </c>
      <c r="J1383" s="8">
        <v>13743</v>
      </c>
      <c r="L1383" s="8">
        <v>13743</v>
      </c>
      <c r="N1383" s="8">
        <v>0</v>
      </c>
      <c r="P1383" s="8">
        <f t="shared" si="8"/>
        <v>0</v>
      </c>
    </row>
    <row r="1384" spans="3:16" x14ac:dyDescent="0.25">
      <c r="D1384" s="3" t="s">
        <v>38</v>
      </c>
      <c r="F1384" s="7">
        <v>50299030</v>
      </c>
      <c r="H1384" s="8">
        <v>150000</v>
      </c>
      <c r="J1384" s="8">
        <v>150000</v>
      </c>
      <c r="L1384" s="8">
        <v>150000</v>
      </c>
      <c r="N1384" s="8">
        <v>0</v>
      </c>
      <c r="P1384" s="8">
        <f t="shared" si="8"/>
        <v>0</v>
      </c>
    </row>
    <row r="1385" spans="3:16" x14ac:dyDescent="0.25">
      <c r="C1385" s="11" t="s">
        <v>808</v>
      </c>
      <c r="E1385" s="11"/>
    </row>
    <row r="1386" spans="3:16" x14ac:dyDescent="0.25">
      <c r="C1386" s="11" t="s">
        <v>809</v>
      </c>
      <c r="D1386" s="11"/>
      <c r="H1386" s="17">
        <f>SUM(H1387:H1392)</f>
        <v>1591960</v>
      </c>
      <c r="J1386" s="17">
        <f>SUM(J1387:J1392)</f>
        <v>1591960</v>
      </c>
      <c r="L1386" s="17">
        <f>SUM(L1387:L1392)</f>
        <v>1382619.65</v>
      </c>
      <c r="N1386" s="17">
        <f>SUM(N1387:N1392)</f>
        <v>0</v>
      </c>
      <c r="P1386" s="17">
        <f>SUM(P1387:P1392)</f>
        <v>209340.35</v>
      </c>
    </row>
    <row r="1387" spans="3:16" x14ac:dyDescent="0.25">
      <c r="D1387" s="3" t="s">
        <v>20</v>
      </c>
      <c r="F1387" s="7">
        <v>50203090</v>
      </c>
      <c r="H1387" s="8">
        <v>12000</v>
      </c>
      <c r="J1387" s="8">
        <v>12000</v>
      </c>
      <c r="L1387" s="8">
        <v>12000</v>
      </c>
      <c r="N1387" s="8">
        <v>0</v>
      </c>
      <c r="P1387" s="8">
        <v>0</v>
      </c>
    </row>
    <row r="1388" spans="3:16" x14ac:dyDescent="0.25">
      <c r="D1388" s="3" t="s">
        <v>37</v>
      </c>
      <c r="F1388" s="7">
        <v>50203990</v>
      </c>
      <c r="H1388" s="8">
        <v>10000</v>
      </c>
      <c r="J1388" s="8">
        <v>10000</v>
      </c>
      <c r="L1388" s="8">
        <v>10000</v>
      </c>
      <c r="N1388" s="8">
        <v>0</v>
      </c>
      <c r="P1388" s="8">
        <v>0</v>
      </c>
    </row>
    <row r="1389" spans="3:16" x14ac:dyDescent="0.25">
      <c r="D1389" s="3" t="s">
        <v>63</v>
      </c>
      <c r="F1389" s="7">
        <v>50204020</v>
      </c>
      <c r="H1389" s="8">
        <v>250000</v>
      </c>
      <c r="J1389" s="8">
        <v>250000</v>
      </c>
      <c r="L1389" s="8">
        <v>215232.62</v>
      </c>
      <c r="N1389" s="8">
        <v>0</v>
      </c>
      <c r="P1389" s="8">
        <v>34767.379999999997</v>
      </c>
    </row>
    <row r="1390" spans="3:16" x14ac:dyDescent="0.25">
      <c r="D1390" s="3" t="s">
        <v>26</v>
      </c>
      <c r="F1390" s="7">
        <v>50212990</v>
      </c>
      <c r="H1390" s="8">
        <v>1160000</v>
      </c>
      <c r="J1390" s="8">
        <v>1160000</v>
      </c>
      <c r="L1390" s="8">
        <v>985427.03</v>
      </c>
      <c r="N1390" s="8">
        <v>0</v>
      </c>
      <c r="P1390" s="8">
        <v>174572.97</v>
      </c>
    </row>
    <row r="1391" spans="3:16" x14ac:dyDescent="0.25">
      <c r="D1391" s="3" t="s">
        <v>117</v>
      </c>
      <c r="F1391" s="7">
        <v>50213040</v>
      </c>
      <c r="H1391" s="8">
        <v>19960</v>
      </c>
      <c r="J1391" s="8">
        <v>19960</v>
      </c>
      <c r="L1391" s="8">
        <v>19960</v>
      </c>
      <c r="N1391" s="8">
        <v>0</v>
      </c>
      <c r="P1391" s="8">
        <v>0</v>
      </c>
    </row>
    <row r="1392" spans="3:16" x14ac:dyDescent="0.25">
      <c r="D1392" s="3" t="s">
        <v>27</v>
      </c>
      <c r="F1392" s="7">
        <v>50213050</v>
      </c>
      <c r="H1392" s="8">
        <v>140000</v>
      </c>
      <c r="J1392" s="8">
        <v>140000</v>
      </c>
      <c r="L1392" s="8">
        <v>140000</v>
      </c>
      <c r="N1392" s="8">
        <v>0</v>
      </c>
      <c r="P1392" s="8">
        <v>0</v>
      </c>
    </row>
    <row r="1393" spans="2:16" x14ac:dyDescent="0.25">
      <c r="C1393" s="11" t="s">
        <v>324</v>
      </c>
      <c r="H1393" s="17">
        <f>SUM(H1394:H1397)</f>
        <v>4980945</v>
      </c>
      <c r="J1393" s="17">
        <f>SUM(J1394:J1397)</f>
        <v>4980945</v>
      </c>
      <c r="L1393" s="17">
        <f>SUM(L1394:L1397)</f>
        <v>4980945</v>
      </c>
      <c r="N1393" s="17">
        <f>SUM(N1394:N1397)</f>
        <v>0</v>
      </c>
      <c r="P1393" s="17">
        <f>SUM(P1394:P1397)</f>
        <v>0</v>
      </c>
    </row>
    <row r="1394" spans="2:16" x14ac:dyDescent="0.25">
      <c r="D1394" s="3" t="s">
        <v>36</v>
      </c>
      <c r="F1394" s="7">
        <v>50203010</v>
      </c>
      <c r="H1394" s="8">
        <v>23145</v>
      </c>
      <c r="J1394" s="8">
        <v>23145</v>
      </c>
      <c r="L1394" s="8">
        <v>23145</v>
      </c>
      <c r="N1394" s="8">
        <v>0</v>
      </c>
      <c r="P1394" s="8">
        <v>0</v>
      </c>
    </row>
    <row r="1395" spans="2:16" x14ac:dyDescent="0.25">
      <c r="D1395" s="3" t="s">
        <v>20</v>
      </c>
      <c r="F1395" s="7">
        <v>50203090</v>
      </c>
      <c r="H1395" s="8">
        <v>150000</v>
      </c>
      <c r="J1395" s="8">
        <v>150000</v>
      </c>
      <c r="L1395" s="8">
        <v>150000</v>
      </c>
      <c r="N1395" s="8">
        <v>0</v>
      </c>
      <c r="P1395" s="8">
        <v>0</v>
      </c>
    </row>
    <row r="1396" spans="2:16" x14ac:dyDescent="0.25">
      <c r="D1396" s="3" t="s">
        <v>38</v>
      </c>
      <c r="F1396" s="7">
        <v>50299030</v>
      </c>
      <c r="H1396" s="8">
        <v>408300</v>
      </c>
      <c r="J1396" s="8">
        <v>408300</v>
      </c>
      <c r="L1396" s="8">
        <v>408300</v>
      </c>
      <c r="N1396" s="8">
        <v>0</v>
      </c>
      <c r="P1396" s="8">
        <v>0</v>
      </c>
    </row>
    <row r="1397" spans="2:16" x14ac:dyDescent="0.25">
      <c r="D1397" s="3" t="s">
        <v>43</v>
      </c>
      <c r="F1397" s="7">
        <v>50299080</v>
      </c>
      <c r="H1397" s="8">
        <v>4399500</v>
      </c>
      <c r="J1397" s="8">
        <v>4399500</v>
      </c>
      <c r="L1397" s="8">
        <v>4399500</v>
      </c>
      <c r="N1397" s="8">
        <v>0</v>
      </c>
      <c r="P1397" s="8">
        <v>0</v>
      </c>
    </row>
    <row r="1398" spans="2:16" x14ac:dyDescent="0.25">
      <c r="C1398" s="11" t="s">
        <v>810</v>
      </c>
      <c r="H1398" s="17">
        <f>SUM(H1400:H1401)</f>
        <v>778346</v>
      </c>
      <c r="J1398" s="17">
        <f>SUM(J1400:J1401)</f>
        <v>778346</v>
      </c>
      <c r="L1398" s="17">
        <f>SUM(L1400:L1401)</f>
        <v>746345.86</v>
      </c>
      <c r="N1398" s="17">
        <f>SUM(N1400:N1401)</f>
        <v>0</v>
      </c>
      <c r="P1398" s="17">
        <f>SUM(P1400:P1401)</f>
        <v>32000.140000000014</v>
      </c>
    </row>
    <row r="1399" spans="2:16" x14ac:dyDescent="0.25">
      <c r="C1399" s="11" t="s">
        <v>811</v>
      </c>
      <c r="H1399" s="64"/>
      <c r="J1399" s="64"/>
      <c r="L1399" s="64"/>
      <c r="N1399" s="64"/>
      <c r="P1399" s="64"/>
    </row>
    <row r="1400" spans="2:16" x14ac:dyDescent="0.25">
      <c r="D1400" s="3" t="s">
        <v>118</v>
      </c>
      <c r="F1400" s="7">
        <v>50203100</v>
      </c>
      <c r="H1400" s="8">
        <v>481346</v>
      </c>
      <c r="J1400" s="8">
        <v>481346</v>
      </c>
      <c r="L1400" s="8">
        <v>481346</v>
      </c>
      <c r="N1400" s="8">
        <v>0</v>
      </c>
      <c r="P1400" s="8">
        <v>0</v>
      </c>
    </row>
    <row r="1401" spans="2:16" x14ac:dyDescent="0.25">
      <c r="D1401" s="3" t="s">
        <v>26</v>
      </c>
      <c r="F1401" s="7">
        <v>50212990</v>
      </c>
      <c r="H1401" s="8">
        <v>297000</v>
      </c>
      <c r="J1401" s="8">
        <v>297000</v>
      </c>
      <c r="L1401" s="8">
        <v>264999.86</v>
      </c>
      <c r="N1401" s="8">
        <v>0</v>
      </c>
      <c r="P1401" s="8">
        <f>+J1401-L1401</f>
        <v>32000.140000000014</v>
      </c>
    </row>
    <row r="1403" spans="2:16" x14ac:dyDescent="0.25">
      <c r="C1403" s="11" t="s">
        <v>323</v>
      </c>
      <c r="H1403" s="17">
        <f>+H1344+H1330</f>
        <v>25168771.009999998</v>
      </c>
      <c r="I1403" s="8" t="s">
        <v>0</v>
      </c>
      <c r="J1403" s="17">
        <f>+J1344+J1330</f>
        <v>25161285.289999999</v>
      </c>
      <c r="K1403" s="8" t="s">
        <v>0</v>
      </c>
      <c r="L1403" s="17">
        <f>+L1344+L1330</f>
        <v>24840068.68</v>
      </c>
      <c r="M1403" s="8" t="s">
        <v>0</v>
      </c>
      <c r="N1403" s="17">
        <f>+N1344+N1330</f>
        <v>7485.72</v>
      </c>
      <c r="O1403" s="8" t="s">
        <v>0</v>
      </c>
      <c r="P1403" s="17">
        <f>+P1344+P1330</f>
        <v>321216.61</v>
      </c>
    </row>
    <row r="1405" spans="2:16" x14ac:dyDescent="0.25">
      <c r="B1405" s="11" t="s">
        <v>325</v>
      </c>
      <c r="F1405" s="7" t="s">
        <v>326</v>
      </c>
    </row>
    <row r="1406" spans="2:16" x14ac:dyDescent="0.25">
      <c r="B1406" s="11" t="s">
        <v>160</v>
      </c>
      <c r="F1406" s="7">
        <v>100</v>
      </c>
      <c r="H1406" s="17">
        <f>SUM(H1407:H1417)</f>
        <v>3344753.1999999997</v>
      </c>
      <c r="J1406" s="17">
        <f>SUM(J1407:J1417)</f>
        <v>3344753.1999999997</v>
      </c>
      <c r="L1406" s="17">
        <f>SUM(L1407:L1417)</f>
        <v>3344753.1999999997</v>
      </c>
      <c r="N1406" s="17">
        <f>SUM(N1407:N1417)</f>
        <v>0</v>
      </c>
      <c r="P1406" s="17">
        <f>SUM(P1407:P1417)</f>
        <v>0</v>
      </c>
    </row>
    <row r="1407" spans="2:16" x14ac:dyDescent="0.25">
      <c r="D1407" s="3" t="s">
        <v>8</v>
      </c>
      <c r="F1407" s="7">
        <v>50101010</v>
      </c>
      <c r="H1407" s="8">
        <v>2336712.0299999998</v>
      </c>
      <c r="J1407" s="8">
        <v>2336712.0299999998</v>
      </c>
      <c r="L1407" s="8">
        <v>2336712.0299999998</v>
      </c>
      <c r="N1407" s="8">
        <v>0</v>
      </c>
      <c r="P1407" s="8">
        <v>0</v>
      </c>
    </row>
    <row r="1408" spans="2:16" x14ac:dyDescent="0.25">
      <c r="D1408" s="3" t="s">
        <v>162</v>
      </c>
      <c r="F1408" s="7">
        <v>50102010</v>
      </c>
      <c r="H1408" s="8">
        <v>139351.51</v>
      </c>
      <c r="J1408" s="8">
        <v>139351.51</v>
      </c>
      <c r="L1408" s="8">
        <v>139351.51</v>
      </c>
      <c r="N1408" s="8">
        <v>0</v>
      </c>
      <c r="P1408" s="8">
        <v>0</v>
      </c>
    </row>
    <row r="1409" spans="2:16" x14ac:dyDescent="0.25">
      <c r="D1409" s="3" t="s">
        <v>776</v>
      </c>
      <c r="F1409" s="7">
        <v>50102020</v>
      </c>
      <c r="H1409" s="8">
        <v>51000</v>
      </c>
      <c r="J1409" s="8">
        <v>51000</v>
      </c>
      <c r="L1409" s="8">
        <v>51000</v>
      </c>
      <c r="N1409" s="8">
        <v>0</v>
      </c>
      <c r="P1409" s="8">
        <v>0</v>
      </c>
    </row>
    <row r="1410" spans="2:16" x14ac:dyDescent="0.25">
      <c r="D1410" s="3" t="s">
        <v>11</v>
      </c>
      <c r="F1410" s="7">
        <v>50102040</v>
      </c>
      <c r="H1410" s="8">
        <v>25000</v>
      </c>
      <c r="J1410" s="8">
        <v>25000</v>
      </c>
      <c r="L1410" s="8">
        <v>25000</v>
      </c>
      <c r="N1410" s="8">
        <v>0</v>
      </c>
      <c r="P1410" s="8">
        <v>0</v>
      </c>
    </row>
    <row r="1411" spans="2:16" x14ac:dyDescent="0.25">
      <c r="D1411" s="3" t="s">
        <v>12</v>
      </c>
      <c r="F1411" s="7">
        <v>50102140</v>
      </c>
      <c r="H1411" s="8">
        <v>410872</v>
      </c>
      <c r="J1411" s="8">
        <v>410872</v>
      </c>
      <c r="L1411" s="8">
        <v>410872</v>
      </c>
      <c r="N1411" s="8">
        <v>0</v>
      </c>
      <c r="P1411" s="8">
        <v>0</v>
      </c>
    </row>
    <row r="1412" spans="2:16" x14ac:dyDescent="0.25">
      <c r="D1412" s="3" t="s">
        <v>13</v>
      </c>
      <c r="F1412" s="7">
        <v>50102150</v>
      </c>
      <c r="H1412" s="8">
        <v>30000</v>
      </c>
      <c r="J1412" s="8">
        <v>30000</v>
      </c>
      <c r="L1412" s="8">
        <v>30000</v>
      </c>
      <c r="N1412" s="8">
        <v>0</v>
      </c>
      <c r="P1412" s="8">
        <v>0</v>
      </c>
    </row>
    <row r="1413" spans="2:16" x14ac:dyDescent="0.25">
      <c r="D1413" s="3" t="s">
        <v>164</v>
      </c>
      <c r="F1413" s="7">
        <v>50103010</v>
      </c>
      <c r="H1413" s="8">
        <v>281296.09000000003</v>
      </c>
      <c r="J1413" s="8">
        <v>281296.09000000003</v>
      </c>
      <c r="L1413" s="8">
        <v>281296.09000000003</v>
      </c>
      <c r="N1413" s="8">
        <v>0</v>
      </c>
      <c r="P1413" s="8">
        <v>0</v>
      </c>
    </row>
    <row r="1414" spans="2:16" x14ac:dyDescent="0.25">
      <c r="D1414" s="3" t="s">
        <v>14</v>
      </c>
      <c r="F1414" s="7">
        <v>50103020</v>
      </c>
      <c r="H1414" s="8">
        <v>7000</v>
      </c>
      <c r="J1414" s="8">
        <v>7000</v>
      </c>
      <c r="L1414" s="8">
        <v>7000</v>
      </c>
      <c r="N1414" s="8">
        <v>0</v>
      </c>
      <c r="P1414" s="8">
        <v>0</v>
      </c>
    </row>
    <row r="1415" spans="2:16" x14ac:dyDescent="0.25">
      <c r="D1415" s="3" t="s">
        <v>15</v>
      </c>
      <c r="F1415" s="7">
        <v>50103030</v>
      </c>
      <c r="H1415" s="8">
        <v>26521.57</v>
      </c>
      <c r="J1415" s="8">
        <v>26521.57</v>
      </c>
      <c r="L1415" s="8">
        <v>26521.57</v>
      </c>
      <c r="N1415" s="8">
        <v>0</v>
      </c>
      <c r="P1415" s="8">
        <v>0</v>
      </c>
    </row>
    <row r="1416" spans="2:16" x14ac:dyDescent="0.25">
      <c r="D1416" s="3" t="s">
        <v>165</v>
      </c>
      <c r="F1416" s="7">
        <v>50103040</v>
      </c>
      <c r="H1416" s="8">
        <v>7000</v>
      </c>
      <c r="J1416" s="8">
        <v>7000</v>
      </c>
      <c r="L1416" s="8">
        <v>7000</v>
      </c>
      <c r="N1416" s="8">
        <v>0</v>
      </c>
      <c r="P1416" s="8">
        <v>0</v>
      </c>
    </row>
    <row r="1417" spans="2:16" x14ac:dyDescent="0.25">
      <c r="D1417" s="3" t="s">
        <v>16</v>
      </c>
      <c r="F1417" s="7">
        <v>50104990</v>
      </c>
      <c r="H1417" s="8">
        <v>30000</v>
      </c>
      <c r="J1417" s="8">
        <v>30000</v>
      </c>
      <c r="L1417" s="8">
        <v>30000</v>
      </c>
      <c r="N1417" s="8">
        <v>0</v>
      </c>
      <c r="P1417" s="8">
        <v>0</v>
      </c>
    </row>
    <row r="1418" spans="2:16" x14ac:dyDescent="0.25">
      <c r="B1418" s="11" t="s">
        <v>166</v>
      </c>
      <c r="F1418" s="7">
        <v>200</v>
      </c>
      <c r="H1418" s="17">
        <f>SUM(H1419:H1425,H1427,H1435,H1441,H1454,H1463)</f>
        <v>6701740.2399999993</v>
      </c>
      <c r="J1418" s="17">
        <f>SUM(J1419:J1425,J1427,J1435,J1441,J1454,J1463)</f>
        <v>6681740.2399999993</v>
      </c>
      <c r="L1418" s="17">
        <f>SUM(L1419:L1425,L1427,L1435,L1441,L1454,L1463)</f>
        <v>6472443.29</v>
      </c>
      <c r="N1418" s="17">
        <f>SUM(N1419:N1425,N1427,N1435,N1441,N1454,N1463)</f>
        <v>20000</v>
      </c>
      <c r="P1418" s="17">
        <f>SUM(P1419:P1425,P1427,P1435,P1441,P1454,P1463)</f>
        <v>209296.95</v>
      </c>
    </row>
    <row r="1419" spans="2:16" x14ac:dyDescent="0.25">
      <c r="D1419" s="3" t="s">
        <v>118</v>
      </c>
      <c r="F1419" s="7">
        <v>50203100</v>
      </c>
      <c r="H1419" s="8">
        <v>48770</v>
      </c>
      <c r="J1419" s="8">
        <v>48770</v>
      </c>
      <c r="L1419" s="8">
        <v>48770</v>
      </c>
      <c r="N1419" s="8">
        <v>0</v>
      </c>
      <c r="P1419" s="8">
        <v>0</v>
      </c>
    </row>
    <row r="1420" spans="2:16" x14ac:dyDescent="0.25">
      <c r="D1420" s="3" t="s">
        <v>21</v>
      </c>
      <c r="F1420" s="7">
        <v>50204010</v>
      </c>
      <c r="H1420" s="8">
        <v>10000</v>
      </c>
      <c r="J1420" s="8">
        <v>10000</v>
      </c>
      <c r="L1420" s="8">
        <v>5104</v>
      </c>
      <c r="N1420" s="8">
        <v>0</v>
      </c>
      <c r="P1420" s="8">
        <v>4896</v>
      </c>
    </row>
    <row r="1421" spans="2:16" x14ac:dyDescent="0.25">
      <c r="D1421" s="3" t="s">
        <v>63</v>
      </c>
      <c r="F1421" s="7">
        <v>50204020</v>
      </c>
      <c r="H1421" s="8">
        <v>630000</v>
      </c>
      <c r="J1421" s="8">
        <v>630000</v>
      </c>
      <c r="L1421" s="8">
        <v>629992.35</v>
      </c>
      <c r="N1421" s="8">
        <v>0</v>
      </c>
      <c r="P1421" s="8">
        <v>7.65</v>
      </c>
    </row>
    <row r="1422" spans="2:16" x14ac:dyDescent="0.25">
      <c r="D1422" s="3" t="s">
        <v>22</v>
      </c>
      <c r="F1422" s="7">
        <v>50205020</v>
      </c>
      <c r="H1422" s="8">
        <v>21000</v>
      </c>
      <c r="J1422" s="8">
        <v>21000</v>
      </c>
      <c r="L1422" s="8">
        <v>21000</v>
      </c>
      <c r="N1422" s="8">
        <v>0</v>
      </c>
      <c r="P1422" s="8">
        <v>0</v>
      </c>
    </row>
    <row r="1423" spans="2:16" x14ac:dyDescent="0.25">
      <c r="D1423" s="3" t="s">
        <v>251</v>
      </c>
      <c r="F1423" s="7">
        <v>50213050</v>
      </c>
      <c r="H1423" s="8">
        <f>2559+17500</f>
        <v>20059</v>
      </c>
      <c r="J1423" s="8">
        <v>2559</v>
      </c>
      <c r="L1423" s="8">
        <v>2559</v>
      </c>
      <c r="N1423" s="8">
        <f>+H1423-J1423</f>
        <v>17500</v>
      </c>
      <c r="P1423" s="8">
        <v>0</v>
      </c>
    </row>
    <row r="1424" spans="2:16" x14ac:dyDescent="0.25">
      <c r="D1424" s="3" t="s">
        <v>83</v>
      </c>
      <c r="F1424" s="7">
        <v>50299020</v>
      </c>
      <c r="H1424" s="8">
        <v>18350</v>
      </c>
      <c r="J1424" s="8">
        <v>18350</v>
      </c>
      <c r="L1424" s="8">
        <v>18350</v>
      </c>
      <c r="N1424" s="8">
        <v>0</v>
      </c>
      <c r="P1424" s="8">
        <v>0</v>
      </c>
    </row>
    <row r="1425" spans="3:16" x14ac:dyDescent="0.25">
      <c r="D1425" s="3" t="s">
        <v>81</v>
      </c>
      <c r="H1425" s="8">
        <v>2500</v>
      </c>
      <c r="J1425" s="8">
        <v>0</v>
      </c>
      <c r="L1425" s="8">
        <v>0</v>
      </c>
      <c r="N1425" s="8">
        <f>+H1425-J1425</f>
        <v>2500</v>
      </c>
      <c r="P1425" s="8">
        <f>+J1425-L1425</f>
        <v>0</v>
      </c>
    </row>
    <row r="1426" spans="3:16" x14ac:dyDescent="0.25">
      <c r="C1426" s="11" t="s">
        <v>177</v>
      </c>
    </row>
    <row r="1427" spans="3:16" x14ac:dyDescent="0.25">
      <c r="C1427" s="19" t="s">
        <v>119</v>
      </c>
      <c r="E1427" s="21"/>
      <c r="H1427" s="17">
        <f>SUM(H1428:H1434)</f>
        <v>877438.8</v>
      </c>
      <c r="J1427" s="17">
        <f>SUM(J1428:J1434)</f>
        <v>877438.8</v>
      </c>
      <c r="L1427" s="17">
        <f>SUM(L1428:L1434)</f>
        <v>860964.78</v>
      </c>
      <c r="N1427" s="17">
        <f>SUM(N1428:N1434)</f>
        <v>0</v>
      </c>
      <c r="P1427" s="17">
        <f>SUM(P1428:P1434)</f>
        <v>16474.019999999997</v>
      </c>
    </row>
    <row r="1428" spans="3:16" x14ac:dyDescent="0.25">
      <c r="D1428" s="3" t="s">
        <v>760</v>
      </c>
      <c r="F1428" s="7">
        <v>50201010</v>
      </c>
      <c r="H1428" s="8">
        <v>64500</v>
      </c>
      <c r="J1428" s="8">
        <v>64500</v>
      </c>
      <c r="L1428" s="8">
        <v>58757.48</v>
      </c>
      <c r="N1428" s="8">
        <v>0</v>
      </c>
      <c r="P1428" s="8">
        <f>+J1428-L1428</f>
        <v>5742.5199999999968</v>
      </c>
    </row>
    <row r="1429" spans="3:16" x14ac:dyDescent="0.25">
      <c r="D1429" s="3" t="s">
        <v>19</v>
      </c>
      <c r="F1429" s="7">
        <v>50202010</v>
      </c>
      <c r="H1429" s="8">
        <v>66350</v>
      </c>
      <c r="J1429" s="8">
        <v>66350</v>
      </c>
      <c r="L1429" s="8">
        <v>66350</v>
      </c>
      <c r="N1429" s="8">
        <v>0</v>
      </c>
      <c r="P1429" s="8">
        <f t="shared" ref="P1429:P1434" si="9">+J1429-L1429</f>
        <v>0</v>
      </c>
    </row>
    <row r="1430" spans="3:16" x14ac:dyDescent="0.25">
      <c r="D1430" s="3" t="s">
        <v>36</v>
      </c>
      <c r="F1430" s="7">
        <v>50203010</v>
      </c>
      <c r="H1430" s="8">
        <v>6000</v>
      </c>
      <c r="J1430" s="8">
        <v>6000</v>
      </c>
      <c r="L1430" s="8">
        <v>5960</v>
      </c>
      <c r="N1430" s="8">
        <v>0</v>
      </c>
      <c r="P1430" s="8">
        <f t="shared" si="9"/>
        <v>40</v>
      </c>
    </row>
    <row r="1431" spans="3:16" x14ac:dyDescent="0.25">
      <c r="D1431" s="3" t="s">
        <v>121</v>
      </c>
      <c r="F1431" s="7">
        <v>50203040</v>
      </c>
      <c r="H1431" s="8">
        <v>593088.80000000005</v>
      </c>
      <c r="J1431" s="8">
        <v>593088.80000000005</v>
      </c>
      <c r="L1431" s="8">
        <v>593088.80000000005</v>
      </c>
      <c r="N1431" s="8">
        <v>0</v>
      </c>
      <c r="P1431" s="8">
        <f t="shared" si="9"/>
        <v>0</v>
      </c>
    </row>
    <row r="1432" spans="3:16" x14ac:dyDescent="0.25">
      <c r="D1432" s="3" t="s">
        <v>770</v>
      </c>
      <c r="F1432" s="7">
        <v>50203090</v>
      </c>
      <c r="H1432" s="8">
        <v>54000</v>
      </c>
      <c r="J1432" s="8">
        <v>54000</v>
      </c>
      <c r="L1432" s="8">
        <v>44000</v>
      </c>
      <c r="N1432" s="8">
        <v>0</v>
      </c>
      <c r="P1432" s="8">
        <f t="shared" si="9"/>
        <v>10000</v>
      </c>
    </row>
    <row r="1433" spans="3:16" x14ac:dyDescent="0.25">
      <c r="D1433" s="3" t="s">
        <v>37</v>
      </c>
      <c r="F1433" s="7">
        <v>50203990</v>
      </c>
      <c r="H1433" s="8">
        <v>32500</v>
      </c>
      <c r="J1433" s="8">
        <v>32500</v>
      </c>
      <c r="L1433" s="8">
        <v>31808.5</v>
      </c>
      <c r="N1433" s="8">
        <v>0</v>
      </c>
      <c r="P1433" s="8">
        <f t="shared" si="9"/>
        <v>691.5</v>
      </c>
    </row>
    <row r="1434" spans="3:16" x14ac:dyDescent="0.25">
      <c r="D1434" s="3" t="s">
        <v>735</v>
      </c>
      <c r="F1434" s="7">
        <v>50299030</v>
      </c>
      <c r="H1434" s="8">
        <v>61000</v>
      </c>
      <c r="J1434" s="8">
        <v>61000</v>
      </c>
      <c r="L1434" s="8">
        <v>61000</v>
      </c>
      <c r="N1434" s="8">
        <v>0</v>
      </c>
      <c r="P1434" s="8">
        <f t="shared" si="9"/>
        <v>0</v>
      </c>
    </row>
    <row r="1435" spans="3:16" x14ac:dyDescent="0.25">
      <c r="C1435" s="11" t="s">
        <v>120</v>
      </c>
      <c r="H1435" s="17">
        <f>SUM(H1436:H1440)</f>
        <v>520252.5</v>
      </c>
      <c r="J1435" s="17">
        <f>SUM(J1436:J1440)</f>
        <v>520252.5</v>
      </c>
      <c r="L1435" s="17">
        <f>SUM(L1436:L1440)</f>
        <v>520252.5</v>
      </c>
      <c r="N1435" s="17">
        <f>SUM(N1436:N1440)</f>
        <v>0</v>
      </c>
      <c r="P1435" s="17">
        <f>SUM(P1436:P1440)</f>
        <v>0</v>
      </c>
    </row>
    <row r="1436" spans="3:16" x14ac:dyDescent="0.25">
      <c r="D1436" s="3" t="s">
        <v>760</v>
      </c>
      <c r="F1436" s="7">
        <v>50201010</v>
      </c>
      <c r="H1436" s="8">
        <v>66570</v>
      </c>
      <c r="J1436" s="8">
        <v>66570</v>
      </c>
      <c r="L1436" s="8">
        <v>66570</v>
      </c>
      <c r="N1436" s="8">
        <v>0</v>
      </c>
      <c r="P1436" s="8">
        <v>0</v>
      </c>
    </row>
    <row r="1437" spans="3:16" x14ac:dyDescent="0.25">
      <c r="D1437" s="3" t="s">
        <v>19</v>
      </c>
      <c r="F1437" s="7">
        <v>50202010</v>
      </c>
      <c r="H1437" s="8">
        <v>44190</v>
      </c>
      <c r="J1437" s="8">
        <v>44190</v>
      </c>
      <c r="L1437" s="8">
        <v>44190</v>
      </c>
      <c r="N1437" s="8">
        <v>0</v>
      </c>
      <c r="P1437" s="8">
        <v>0</v>
      </c>
    </row>
    <row r="1438" spans="3:16" x14ac:dyDescent="0.25">
      <c r="D1438" s="3" t="s">
        <v>121</v>
      </c>
      <c r="F1438" s="7">
        <v>50203040</v>
      </c>
      <c r="H1438" s="8">
        <v>240348</v>
      </c>
      <c r="J1438" s="8">
        <v>240348</v>
      </c>
      <c r="L1438" s="8">
        <v>240348</v>
      </c>
      <c r="N1438" s="8">
        <v>0</v>
      </c>
      <c r="P1438" s="8">
        <v>0</v>
      </c>
    </row>
    <row r="1439" spans="3:16" x14ac:dyDescent="0.25">
      <c r="D1439" s="3" t="s">
        <v>37</v>
      </c>
      <c r="F1439" s="7">
        <v>50203990</v>
      </c>
      <c r="H1439" s="8">
        <v>29144.5</v>
      </c>
      <c r="J1439" s="8">
        <v>29144.5</v>
      </c>
      <c r="L1439" s="8">
        <v>29144.5</v>
      </c>
      <c r="N1439" s="8">
        <v>0</v>
      </c>
      <c r="P1439" s="8">
        <v>0</v>
      </c>
    </row>
    <row r="1440" spans="3:16" x14ac:dyDescent="0.25">
      <c r="D1440" s="3" t="s">
        <v>735</v>
      </c>
      <c r="F1440" s="7">
        <v>50299030</v>
      </c>
      <c r="H1440" s="8">
        <v>140000</v>
      </c>
      <c r="J1440" s="8">
        <v>140000</v>
      </c>
      <c r="L1440" s="8">
        <v>140000</v>
      </c>
      <c r="N1440" s="8">
        <v>0</v>
      </c>
      <c r="P1440" s="8">
        <v>0</v>
      </c>
    </row>
    <row r="1441" spans="3:16" x14ac:dyDescent="0.25">
      <c r="C1441" s="11" t="s">
        <v>122</v>
      </c>
      <c r="H1441" s="17">
        <f>SUM(H1442:H1453)</f>
        <v>2955683.98</v>
      </c>
      <c r="J1441" s="17">
        <f>SUM(J1442:J1453)</f>
        <v>2955683.98</v>
      </c>
      <c r="L1441" s="17">
        <f>SUM(L1442:L1453)</f>
        <v>2767764.6999999997</v>
      </c>
      <c r="N1441" s="17">
        <f>SUM(N1442:N1453)</f>
        <v>0</v>
      </c>
      <c r="P1441" s="17">
        <f>SUM(P1442:P1453)</f>
        <v>187919.28</v>
      </c>
    </row>
    <row r="1442" spans="3:16" x14ac:dyDescent="0.25">
      <c r="D1442" s="3" t="s">
        <v>760</v>
      </c>
      <c r="F1442" s="7">
        <v>50201010</v>
      </c>
      <c r="H1442" s="8">
        <v>40000</v>
      </c>
      <c r="J1442" s="8">
        <v>40000</v>
      </c>
      <c r="L1442" s="8">
        <v>40000</v>
      </c>
      <c r="N1442" s="8">
        <v>0</v>
      </c>
      <c r="P1442" s="8">
        <v>0</v>
      </c>
    </row>
    <row r="1443" spans="3:16" x14ac:dyDescent="0.25">
      <c r="D1443" s="3" t="s">
        <v>19</v>
      </c>
      <c r="F1443" s="7">
        <v>50202010</v>
      </c>
      <c r="H1443" s="8">
        <v>6000</v>
      </c>
      <c r="J1443" s="8">
        <v>6000</v>
      </c>
      <c r="L1443" s="8">
        <v>6000</v>
      </c>
      <c r="N1443" s="8">
        <v>0</v>
      </c>
      <c r="P1443" s="8">
        <v>0</v>
      </c>
    </row>
    <row r="1444" spans="3:16" x14ac:dyDescent="0.25">
      <c r="D1444" s="3" t="s">
        <v>36</v>
      </c>
      <c r="F1444" s="7">
        <v>50203010</v>
      </c>
      <c r="H1444" s="8">
        <v>29963</v>
      </c>
      <c r="J1444" s="8">
        <v>29963</v>
      </c>
      <c r="L1444" s="8">
        <v>29963</v>
      </c>
      <c r="N1444" s="8">
        <v>0</v>
      </c>
      <c r="P1444" s="8">
        <v>0</v>
      </c>
    </row>
    <row r="1445" spans="3:16" x14ac:dyDescent="0.25">
      <c r="D1445" s="3" t="s">
        <v>121</v>
      </c>
      <c r="F1445" s="7">
        <v>50203040</v>
      </c>
      <c r="H1445" s="8">
        <v>1619929.1</v>
      </c>
      <c r="J1445" s="8">
        <v>1619929.1</v>
      </c>
      <c r="L1445" s="8">
        <v>1619929.1</v>
      </c>
      <c r="N1445" s="8">
        <v>0</v>
      </c>
      <c r="P1445" s="8">
        <v>0</v>
      </c>
    </row>
    <row r="1446" spans="3:16" x14ac:dyDescent="0.25">
      <c r="D1446" s="3" t="s">
        <v>770</v>
      </c>
      <c r="F1446" s="7">
        <v>50203090</v>
      </c>
      <c r="H1446" s="8">
        <v>208955.77</v>
      </c>
      <c r="J1446" s="8">
        <v>208955.77</v>
      </c>
      <c r="L1446" s="8">
        <v>208955.77</v>
      </c>
      <c r="N1446" s="8">
        <v>0</v>
      </c>
      <c r="P1446" s="8">
        <v>0</v>
      </c>
    </row>
    <row r="1447" spans="3:16" x14ac:dyDescent="0.25">
      <c r="D1447" s="3" t="s">
        <v>118</v>
      </c>
      <c r="F1447" s="7">
        <v>50203100</v>
      </c>
      <c r="H1447" s="8">
        <v>49293.25</v>
      </c>
      <c r="J1447" s="8">
        <v>49293.25</v>
      </c>
      <c r="L1447" s="8">
        <v>49293.25</v>
      </c>
      <c r="N1447" s="8">
        <v>0</v>
      </c>
      <c r="P1447" s="8">
        <v>0</v>
      </c>
    </row>
    <row r="1448" spans="3:16" x14ac:dyDescent="0.25">
      <c r="D1448" s="3" t="s">
        <v>37</v>
      </c>
      <c r="F1448" s="7">
        <v>50203990</v>
      </c>
      <c r="H1448" s="8">
        <v>50000</v>
      </c>
      <c r="J1448" s="8">
        <v>50000</v>
      </c>
      <c r="L1448" s="8">
        <v>50000</v>
      </c>
      <c r="N1448" s="8">
        <v>0</v>
      </c>
      <c r="P1448" s="8">
        <v>0</v>
      </c>
    </row>
    <row r="1449" spans="3:16" x14ac:dyDescent="0.25">
      <c r="D1449" s="3" t="s">
        <v>63</v>
      </c>
      <c r="F1449" s="7">
        <v>50204020</v>
      </c>
      <c r="H1449" s="8">
        <v>685000</v>
      </c>
      <c r="J1449" s="8">
        <v>685000</v>
      </c>
      <c r="L1449" s="8">
        <v>547897.4</v>
      </c>
      <c r="N1449" s="8">
        <v>0</v>
      </c>
      <c r="P1449" s="8">
        <v>137102.6</v>
      </c>
    </row>
    <row r="1450" spans="3:16" x14ac:dyDescent="0.25">
      <c r="D1450" s="3" t="s">
        <v>25</v>
      </c>
      <c r="F1450" s="7">
        <v>50211990</v>
      </c>
      <c r="H1450" s="8">
        <v>3260.86</v>
      </c>
      <c r="J1450" s="8">
        <v>3260.86</v>
      </c>
      <c r="L1450" s="8">
        <v>3260.86</v>
      </c>
      <c r="N1450" s="8">
        <v>0</v>
      </c>
      <c r="P1450" s="8">
        <v>0</v>
      </c>
    </row>
    <row r="1451" spans="3:16" x14ac:dyDescent="0.25">
      <c r="D1451" s="3" t="s">
        <v>26</v>
      </c>
      <c r="F1451" s="7">
        <v>50212990</v>
      </c>
      <c r="H1451" s="8">
        <v>210000</v>
      </c>
      <c r="J1451" s="8">
        <v>210000</v>
      </c>
      <c r="L1451" s="8">
        <v>159183.32</v>
      </c>
      <c r="N1451" s="8">
        <v>0</v>
      </c>
      <c r="P1451" s="8">
        <v>50816.68</v>
      </c>
    </row>
    <row r="1452" spans="3:16" x14ac:dyDescent="0.25">
      <c r="D1452" s="3" t="s">
        <v>771</v>
      </c>
      <c r="F1452" s="7">
        <v>50213020</v>
      </c>
      <c r="H1452" s="8">
        <v>43482</v>
      </c>
      <c r="J1452" s="8">
        <v>43482</v>
      </c>
      <c r="L1452" s="8">
        <v>43482</v>
      </c>
      <c r="N1452" s="8">
        <v>0</v>
      </c>
      <c r="P1452" s="8">
        <v>0</v>
      </c>
    </row>
    <row r="1453" spans="3:16" x14ac:dyDescent="0.25">
      <c r="D1453" s="3" t="s">
        <v>735</v>
      </c>
      <c r="F1453" s="7">
        <v>50299030</v>
      </c>
      <c r="H1453" s="8">
        <v>9800</v>
      </c>
      <c r="J1453" s="8">
        <v>9800</v>
      </c>
      <c r="L1453" s="8">
        <v>9800</v>
      </c>
      <c r="N1453" s="8">
        <v>0</v>
      </c>
      <c r="P1453" s="8">
        <v>0</v>
      </c>
    </row>
    <row r="1454" spans="3:16" x14ac:dyDescent="0.25">
      <c r="C1454" s="11" t="s">
        <v>123</v>
      </c>
      <c r="H1454" s="17">
        <f>SUM(H1455:H1462)</f>
        <v>861790.14</v>
      </c>
      <c r="J1454" s="17">
        <f>SUM(J1455:J1462)</f>
        <v>861790.14</v>
      </c>
      <c r="L1454" s="17">
        <f>SUM(L1455:L1462)</f>
        <v>861790.14</v>
      </c>
      <c r="N1454" s="17">
        <f>SUM(N1455:N1462)</f>
        <v>0</v>
      </c>
      <c r="P1454" s="17">
        <f>SUM(P1455:P1462)</f>
        <v>0</v>
      </c>
    </row>
    <row r="1455" spans="3:16" x14ac:dyDescent="0.25">
      <c r="D1455" s="3" t="s">
        <v>760</v>
      </c>
      <c r="F1455" s="7">
        <v>50201010</v>
      </c>
      <c r="H1455" s="8">
        <v>50838.239999999998</v>
      </c>
      <c r="J1455" s="8">
        <v>50838.239999999998</v>
      </c>
      <c r="L1455" s="8">
        <v>50838.239999999998</v>
      </c>
      <c r="N1455" s="8">
        <v>0</v>
      </c>
      <c r="P1455" s="8">
        <v>0</v>
      </c>
    </row>
    <row r="1456" spans="3:16" x14ac:dyDescent="0.25">
      <c r="D1456" s="3" t="s">
        <v>19</v>
      </c>
      <c r="F1456" s="7">
        <v>50202010</v>
      </c>
      <c r="H1456" s="8">
        <v>126650</v>
      </c>
      <c r="J1456" s="8">
        <v>126650</v>
      </c>
      <c r="L1456" s="8">
        <v>126650</v>
      </c>
      <c r="N1456" s="8">
        <v>0</v>
      </c>
      <c r="P1456" s="8">
        <v>0</v>
      </c>
    </row>
    <row r="1457" spans="3:16" x14ac:dyDescent="0.25">
      <c r="D1457" s="3" t="s">
        <v>36</v>
      </c>
      <c r="F1457" s="7">
        <v>50203010</v>
      </c>
      <c r="H1457" s="8">
        <v>4495</v>
      </c>
      <c r="J1457" s="8">
        <v>4495</v>
      </c>
      <c r="L1457" s="8">
        <v>4495</v>
      </c>
      <c r="N1457" s="8">
        <v>0</v>
      </c>
      <c r="P1457" s="8">
        <v>0</v>
      </c>
    </row>
    <row r="1458" spans="3:16" x14ac:dyDescent="0.25">
      <c r="D1458" s="3" t="s">
        <v>121</v>
      </c>
      <c r="F1458" s="7">
        <v>50203040</v>
      </c>
      <c r="H1458" s="8">
        <v>608260</v>
      </c>
      <c r="J1458" s="8">
        <v>608260</v>
      </c>
      <c r="L1458" s="8">
        <v>608260</v>
      </c>
      <c r="N1458" s="8">
        <v>0</v>
      </c>
      <c r="P1458" s="8">
        <v>0</v>
      </c>
    </row>
    <row r="1459" spans="3:16" x14ac:dyDescent="0.25">
      <c r="D1459" s="3" t="s">
        <v>770</v>
      </c>
      <c r="F1459" s="7">
        <v>50203090</v>
      </c>
      <c r="H1459" s="8">
        <v>36000</v>
      </c>
      <c r="J1459" s="8">
        <v>36000</v>
      </c>
      <c r="L1459" s="8">
        <v>36000</v>
      </c>
      <c r="N1459" s="8">
        <v>0</v>
      </c>
      <c r="P1459" s="8">
        <v>0</v>
      </c>
    </row>
    <row r="1460" spans="3:16" x14ac:dyDescent="0.25">
      <c r="D1460" s="3" t="s">
        <v>37</v>
      </c>
      <c r="F1460" s="7">
        <v>50203990</v>
      </c>
      <c r="H1460" s="8">
        <v>9176.9</v>
      </c>
      <c r="J1460" s="8">
        <v>9176.9</v>
      </c>
      <c r="L1460" s="8">
        <v>9176.9</v>
      </c>
      <c r="N1460" s="8">
        <v>0</v>
      </c>
      <c r="P1460" s="8">
        <v>0</v>
      </c>
    </row>
    <row r="1461" spans="3:16" x14ac:dyDescent="0.25">
      <c r="D1461" s="3" t="s">
        <v>91</v>
      </c>
      <c r="F1461" s="7">
        <v>50299020</v>
      </c>
      <c r="H1461" s="8">
        <v>14990</v>
      </c>
      <c r="J1461" s="8">
        <v>14990</v>
      </c>
      <c r="L1461" s="8">
        <v>14990</v>
      </c>
      <c r="N1461" s="8">
        <v>0</v>
      </c>
      <c r="P1461" s="8">
        <v>0</v>
      </c>
    </row>
    <row r="1462" spans="3:16" x14ac:dyDescent="0.25">
      <c r="D1462" s="3" t="s">
        <v>735</v>
      </c>
      <c r="F1462" s="7">
        <v>50299030</v>
      </c>
      <c r="H1462" s="8">
        <v>11380</v>
      </c>
      <c r="J1462" s="8">
        <v>11380</v>
      </c>
      <c r="L1462" s="8">
        <v>11380</v>
      </c>
      <c r="N1462" s="8">
        <v>0</v>
      </c>
      <c r="P1462" s="8">
        <v>0</v>
      </c>
    </row>
    <row r="1463" spans="3:16" x14ac:dyDescent="0.25">
      <c r="C1463" s="11" t="s">
        <v>124</v>
      </c>
      <c r="H1463" s="17">
        <f>SUM(H1464:H1471)</f>
        <v>735895.82</v>
      </c>
      <c r="J1463" s="17">
        <f>SUM(J1464:J1471)</f>
        <v>735895.82</v>
      </c>
      <c r="L1463" s="17">
        <f>SUM(L1464:L1471)</f>
        <v>735895.82</v>
      </c>
      <c r="N1463" s="17">
        <f>SUM(N1464:N1471)</f>
        <v>0</v>
      </c>
      <c r="P1463" s="17">
        <f>SUM(P1464:P1471)</f>
        <v>0</v>
      </c>
    </row>
    <row r="1464" spans="3:16" x14ac:dyDescent="0.25">
      <c r="D1464" s="3" t="s">
        <v>760</v>
      </c>
      <c r="F1464" s="7">
        <v>50201010</v>
      </c>
      <c r="H1464" s="8">
        <v>59310</v>
      </c>
      <c r="J1464" s="8">
        <v>59310</v>
      </c>
      <c r="L1464" s="8">
        <v>59310</v>
      </c>
      <c r="N1464" s="8">
        <v>0</v>
      </c>
      <c r="P1464" s="8">
        <v>0</v>
      </c>
    </row>
    <row r="1465" spans="3:16" x14ac:dyDescent="0.25">
      <c r="D1465" s="3" t="s">
        <v>19</v>
      </c>
      <c r="F1465" s="7">
        <v>50202010</v>
      </c>
      <c r="H1465" s="8">
        <v>2500</v>
      </c>
      <c r="J1465" s="8">
        <v>2500</v>
      </c>
      <c r="L1465" s="8">
        <v>2500</v>
      </c>
      <c r="N1465" s="8">
        <v>0</v>
      </c>
      <c r="P1465" s="8">
        <v>0</v>
      </c>
    </row>
    <row r="1466" spans="3:16" x14ac:dyDescent="0.25">
      <c r="D1466" s="3" t="s">
        <v>36</v>
      </c>
      <c r="F1466" s="7">
        <v>50203010</v>
      </c>
      <c r="H1466" s="8">
        <v>14948</v>
      </c>
      <c r="J1466" s="8">
        <v>14948</v>
      </c>
      <c r="L1466" s="8">
        <v>14948</v>
      </c>
      <c r="N1466" s="8">
        <v>0</v>
      </c>
      <c r="P1466" s="8">
        <v>0</v>
      </c>
    </row>
    <row r="1467" spans="3:16" x14ac:dyDescent="0.25">
      <c r="D1467" s="3" t="s">
        <v>121</v>
      </c>
      <c r="F1467" s="7">
        <v>50203040</v>
      </c>
      <c r="H1467" s="8">
        <v>104524.9</v>
      </c>
      <c r="J1467" s="8">
        <v>104524.9</v>
      </c>
      <c r="L1467" s="8">
        <v>104524.9</v>
      </c>
      <c r="N1467" s="8">
        <v>0</v>
      </c>
      <c r="P1467" s="8">
        <v>0</v>
      </c>
    </row>
    <row r="1468" spans="3:16" x14ac:dyDescent="0.25">
      <c r="D1468" s="3" t="s">
        <v>770</v>
      </c>
      <c r="F1468" s="7">
        <v>50203090</v>
      </c>
      <c r="H1468" s="8">
        <v>35000</v>
      </c>
      <c r="J1468" s="8">
        <v>35000</v>
      </c>
      <c r="L1468" s="8">
        <v>35000</v>
      </c>
      <c r="N1468" s="8">
        <v>0</v>
      </c>
      <c r="P1468" s="8">
        <v>0</v>
      </c>
    </row>
    <row r="1469" spans="3:16" x14ac:dyDescent="0.25">
      <c r="D1469" s="3" t="s">
        <v>37</v>
      </c>
      <c r="F1469" s="7">
        <v>50203990</v>
      </c>
      <c r="H1469" s="8">
        <v>14803</v>
      </c>
      <c r="J1469" s="8">
        <v>14803</v>
      </c>
      <c r="L1469" s="8">
        <v>14803</v>
      </c>
      <c r="N1469" s="8">
        <v>0</v>
      </c>
      <c r="P1469" s="8">
        <v>0</v>
      </c>
    </row>
    <row r="1470" spans="3:16" x14ac:dyDescent="0.25">
      <c r="D1470" s="3" t="s">
        <v>735</v>
      </c>
      <c r="F1470" s="7">
        <v>50299030</v>
      </c>
      <c r="H1470" s="8">
        <v>14945</v>
      </c>
      <c r="J1470" s="8">
        <v>14945</v>
      </c>
      <c r="L1470" s="8">
        <v>14945</v>
      </c>
      <c r="N1470" s="8">
        <v>0</v>
      </c>
      <c r="P1470" s="8">
        <v>0</v>
      </c>
    </row>
    <row r="1471" spans="3:16" x14ac:dyDescent="0.25">
      <c r="D1471" s="3" t="s">
        <v>43</v>
      </c>
      <c r="F1471" s="7">
        <v>50299080</v>
      </c>
      <c r="H1471" s="8">
        <v>489864.92</v>
      </c>
      <c r="J1471" s="8">
        <v>489864.92</v>
      </c>
      <c r="L1471" s="8">
        <v>489864.92</v>
      </c>
      <c r="N1471" s="8">
        <v>0</v>
      </c>
      <c r="P1471" s="8">
        <v>0</v>
      </c>
    </row>
    <row r="1473" spans="2:16" x14ac:dyDescent="0.25">
      <c r="D1473" s="11" t="s">
        <v>328</v>
      </c>
      <c r="H1473" s="17">
        <f>+H1418+H1406</f>
        <v>10046493.439999999</v>
      </c>
      <c r="I1473" s="8" t="s">
        <v>0</v>
      </c>
      <c r="J1473" s="17">
        <f>+J1418+J1406</f>
        <v>10026493.439999999</v>
      </c>
      <c r="K1473" s="8" t="s">
        <v>0</v>
      </c>
      <c r="L1473" s="17">
        <f>+L1418+L1406</f>
        <v>9817196.4900000002</v>
      </c>
      <c r="M1473" s="8" t="s">
        <v>0</v>
      </c>
      <c r="N1473" s="17">
        <f>+N1418+N1406</f>
        <v>20000</v>
      </c>
      <c r="O1473" s="8" t="s">
        <v>0</v>
      </c>
      <c r="P1473" s="17">
        <f>+P1418+P1406</f>
        <v>209296.95</v>
      </c>
    </row>
    <row r="1475" spans="2:16" x14ac:dyDescent="0.25">
      <c r="B1475" s="11" t="s">
        <v>329</v>
      </c>
      <c r="F1475" s="7" t="s">
        <v>330</v>
      </c>
    </row>
    <row r="1476" spans="2:16" x14ac:dyDescent="0.25">
      <c r="B1476" s="11" t="s">
        <v>160</v>
      </c>
      <c r="F1476" s="7">
        <v>100</v>
      </c>
      <c r="H1476" s="17">
        <f>SUM(H1477:H1488)</f>
        <v>6957961.9199999999</v>
      </c>
      <c r="J1476" s="17">
        <f>SUM(J1477:J1488)</f>
        <v>6957961.9199999999</v>
      </c>
      <c r="L1476" s="17">
        <f>SUM(L1477:L1488)</f>
        <v>6957961.9199999999</v>
      </c>
      <c r="N1476" s="17">
        <f>SUM(N1477:N1488)</f>
        <v>0</v>
      </c>
      <c r="P1476" s="17">
        <f>SUM(P1477:P1488)</f>
        <v>0</v>
      </c>
    </row>
    <row r="1477" spans="2:16" x14ac:dyDescent="0.25">
      <c r="D1477" s="3" t="s">
        <v>8</v>
      </c>
      <c r="F1477" s="7">
        <v>50101010</v>
      </c>
      <c r="H1477" s="8">
        <v>4894351.33</v>
      </c>
      <c r="J1477" s="8">
        <v>4894351.33</v>
      </c>
      <c r="L1477" s="8">
        <v>4894351.33</v>
      </c>
      <c r="N1477" s="8">
        <v>0</v>
      </c>
      <c r="P1477" s="8">
        <v>0</v>
      </c>
    </row>
    <row r="1478" spans="2:16" x14ac:dyDescent="0.25">
      <c r="D1478" s="3" t="s">
        <v>162</v>
      </c>
      <c r="F1478" s="7">
        <v>50102010</v>
      </c>
      <c r="H1478" s="8">
        <v>271866.67</v>
      </c>
      <c r="J1478" s="8">
        <v>271866.67</v>
      </c>
      <c r="L1478" s="8">
        <v>271866.67</v>
      </c>
      <c r="N1478" s="8">
        <v>0</v>
      </c>
      <c r="P1478" s="8">
        <v>0</v>
      </c>
    </row>
    <row r="1479" spans="2:16" x14ac:dyDescent="0.25">
      <c r="D1479" s="3" t="s">
        <v>776</v>
      </c>
      <c r="F1479" s="7">
        <v>50102020</v>
      </c>
      <c r="H1479" s="8">
        <v>102000</v>
      </c>
      <c r="J1479" s="8">
        <v>102000</v>
      </c>
      <c r="L1479" s="8">
        <v>102000</v>
      </c>
      <c r="N1479" s="8">
        <v>0</v>
      </c>
      <c r="P1479" s="8">
        <v>0</v>
      </c>
    </row>
    <row r="1480" spans="2:16" x14ac:dyDescent="0.25">
      <c r="D1480" s="3" t="s">
        <v>11</v>
      </c>
      <c r="F1480" s="7">
        <v>50102040</v>
      </c>
      <c r="H1480" s="8">
        <v>55000</v>
      </c>
      <c r="J1480" s="8">
        <v>55000</v>
      </c>
      <c r="L1480" s="8">
        <v>55000</v>
      </c>
      <c r="N1480" s="8">
        <v>0</v>
      </c>
      <c r="P1480" s="8">
        <v>0</v>
      </c>
    </row>
    <row r="1481" spans="2:16" x14ac:dyDescent="0.25">
      <c r="D1481" s="3" t="s">
        <v>61</v>
      </c>
      <c r="F1481" s="7">
        <v>50102120</v>
      </c>
      <c r="H1481" s="8">
        <v>10000</v>
      </c>
      <c r="J1481" s="8">
        <v>10000</v>
      </c>
      <c r="L1481" s="8">
        <v>10000</v>
      </c>
      <c r="N1481" s="8">
        <v>0</v>
      </c>
      <c r="P1481" s="8">
        <v>0</v>
      </c>
    </row>
    <row r="1482" spans="2:16" x14ac:dyDescent="0.25">
      <c r="D1482" s="3" t="s">
        <v>12</v>
      </c>
      <c r="F1482" s="7">
        <v>50102140</v>
      </c>
      <c r="H1482" s="8">
        <v>841939</v>
      </c>
      <c r="J1482" s="8">
        <v>841939</v>
      </c>
      <c r="L1482" s="8">
        <v>841939</v>
      </c>
      <c r="N1482" s="8">
        <v>0</v>
      </c>
      <c r="P1482" s="8">
        <v>0</v>
      </c>
    </row>
    <row r="1483" spans="2:16" x14ac:dyDescent="0.25">
      <c r="D1483" s="3" t="s">
        <v>13</v>
      </c>
      <c r="F1483" s="7">
        <v>50102150</v>
      </c>
      <c r="H1483" s="8">
        <v>60000</v>
      </c>
      <c r="J1483" s="8">
        <v>60000</v>
      </c>
      <c r="L1483" s="8">
        <v>60000</v>
      </c>
      <c r="N1483" s="8">
        <v>0</v>
      </c>
      <c r="P1483" s="8">
        <v>0</v>
      </c>
    </row>
    <row r="1484" spans="2:16" x14ac:dyDescent="0.25">
      <c r="D1484" s="3" t="s">
        <v>164</v>
      </c>
      <c r="F1484" s="7">
        <v>50103010</v>
      </c>
      <c r="H1484" s="8">
        <v>587102.03</v>
      </c>
      <c r="J1484" s="8">
        <v>587102.03</v>
      </c>
      <c r="L1484" s="8">
        <v>587102.03</v>
      </c>
      <c r="N1484" s="8">
        <v>0</v>
      </c>
      <c r="P1484" s="8">
        <v>0</v>
      </c>
    </row>
    <row r="1485" spans="2:16" x14ac:dyDescent="0.25">
      <c r="D1485" s="3" t="s">
        <v>14</v>
      </c>
      <c r="F1485" s="7">
        <v>50103020</v>
      </c>
      <c r="H1485" s="8">
        <v>13902.89</v>
      </c>
      <c r="J1485" s="8">
        <v>13902.89</v>
      </c>
      <c r="L1485" s="8">
        <v>13902.89</v>
      </c>
      <c r="N1485" s="8">
        <v>0</v>
      </c>
      <c r="P1485" s="8">
        <v>0</v>
      </c>
    </row>
    <row r="1486" spans="2:16" x14ac:dyDescent="0.25">
      <c r="D1486" s="3" t="s">
        <v>15</v>
      </c>
      <c r="F1486" s="7">
        <v>50103030</v>
      </c>
      <c r="H1486" s="8">
        <v>48300</v>
      </c>
      <c r="J1486" s="8">
        <v>48300</v>
      </c>
      <c r="L1486" s="8">
        <v>48300</v>
      </c>
      <c r="N1486" s="8">
        <v>0</v>
      </c>
      <c r="P1486" s="8">
        <v>0</v>
      </c>
    </row>
    <row r="1487" spans="2:16" x14ac:dyDescent="0.25">
      <c r="D1487" s="3" t="s">
        <v>165</v>
      </c>
      <c r="F1487" s="7">
        <v>50103040</v>
      </c>
      <c r="H1487" s="8">
        <v>13500</v>
      </c>
      <c r="J1487" s="8">
        <v>13500</v>
      </c>
      <c r="L1487" s="8">
        <v>13500</v>
      </c>
      <c r="N1487" s="8">
        <v>0</v>
      </c>
      <c r="P1487" s="8">
        <v>0</v>
      </c>
    </row>
    <row r="1488" spans="2:16" x14ac:dyDescent="0.25">
      <c r="D1488" s="3" t="s">
        <v>16</v>
      </c>
      <c r="F1488" s="7">
        <v>50104990</v>
      </c>
      <c r="H1488" s="8">
        <v>60000</v>
      </c>
      <c r="J1488" s="8">
        <v>60000</v>
      </c>
      <c r="L1488" s="8">
        <v>60000</v>
      </c>
      <c r="N1488" s="8">
        <v>0</v>
      </c>
      <c r="P1488" s="8">
        <v>0</v>
      </c>
    </row>
    <row r="1489" spans="2:16" x14ac:dyDescent="0.25">
      <c r="B1489" s="11" t="s">
        <v>166</v>
      </c>
      <c r="C1489" s="11"/>
      <c r="D1489" s="11"/>
      <c r="E1489" s="11"/>
      <c r="F1489" s="7">
        <v>200</v>
      </c>
      <c r="H1489" s="17">
        <f>SUM(H1490:H1496,H1498,H1507)</f>
        <v>1232364.6499999999</v>
      </c>
      <c r="J1489" s="17">
        <f>SUM(J1490:J1496,J1498,J1507)</f>
        <v>1232364.6499999999</v>
      </c>
      <c r="L1489" s="17">
        <f>SUM(L1490:L1496,L1498,L1507)</f>
        <v>1205224.6400000001</v>
      </c>
      <c r="N1489" s="17">
        <f>SUM(N1490:N1496,N1498,N1507)</f>
        <v>0</v>
      </c>
      <c r="P1489" s="17">
        <f>SUM(P1490:P1496,P1498,P1507)</f>
        <v>27140.01</v>
      </c>
    </row>
    <row r="1490" spans="2:16" x14ac:dyDescent="0.25">
      <c r="D1490" s="3" t="s">
        <v>19</v>
      </c>
      <c r="F1490" s="7">
        <v>50202010</v>
      </c>
      <c r="H1490" s="8">
        <f>55000-3254</f>
        <v>51746</v>
      </c>
      <c r="J1490" s="8">
        <f>55000-3254</f>
        <v>51746</v>
      </c>
      <c r="L1490" s="8">
        <v>51746</v>
      </c>
      <c r="N1490" s="8">
        <f>+H1490-J1490</f>
        <v>0</v>
      </c>
      <c r="P1490" s="8">
        <f>+J1490-L1490</f>
        <v>0</v>
      </c>
    </row>
    <row r="1491" spans="2:16" x14ac:dyDescent="0.25">
      <c r="D1491" s="3" t="s">
        <v>21</v>
      </c>
      <c r="F1491" s="7">
        <v>50204010</v>
      </c>
      <c r="H1491" s="8">
        <v>12000</v>
      </c>
      <c r="J1491" s="8">
        <v>12000</v>
      </c>
      <c r="L1491" s="8">
        <v>5764</v>
      </c>
      <c r="N1491" s="8">
        <v>0</v>
      </c>
      <c r="P1491" s="8">
        <v>6236</v>
      </c>
    </row>
    <row r="1492" spans="2:16" x14ac:dyDescent="0.25">
      <c r="D1492" s="3" t="s">
        <v>63</v>
      </c>
      <c r="F1492" s="7">
        <v>50204020</v>
      </c>
      <c r="H1492" s="8">
        <v>3000</v>
      </c>
      <c r="J1492" s="8">
        <v>3000</v>
      </c>
      <c r="L1492" s="8">
        <v>0</v>
      </c>
      <c r="N1492" s="8">
        <v>0</v>
      </c>
      <c r="P1492" s="8">
        <v>3000</v>
      </c>
    </row>
    <row r="1493" spans="2:16" x14ac:dyDescent="0.25">
      <c r="D1493" s="3" t="s">
        <v>22</v>
      </c>
      <c r="F1493" s="7">
        <v>50205020</v>
      </c>
      <c r="H1493" s="8">
        <v>42000</v>
      </c>
      <c r="J1493" s="8">
        <v>42000</v>
      </c>
      <c r="L1493" s="8">
        <v>42000</v>
      </c>
      <c r="N1493" s="8">
        <v>0</v>
      </c>
      <c r="P1493" s="8">
        <v>0</v>
      </c>
    </row>
    <row r="1494" spans="2:16" x14ac:dyDescent="0.25">
      <c r="D1494" s="3" t="s">
        <v>27</v>
      </c>
      <c r="F1494" s="7">
        <v>50213050</v>
      </c>
      <c r="H1494" s="8">
        <v>3495</v>
      </c>
      <c r="J1494" s="8">
        <v>3495</v>
      </c>
      <c r="L1494" s="8">
        <v>3495</v>
      </c>
      <c r="N1494" s="8">
        <v>0</v>
      </c>
      <c r="P1494" s="8">
        <v>0</v>
      </c>
    </row>
    <row r="1495" spans="2:16" x14ac:dyDescent="0.25">
      <c r="D1495" s="3" t="s">
        <v>83</v>
      </c>
      <c r="F1495" s="7">
        <v>50299020</v>
      </c>
      <c r="H1495" s="8">
        <f>60000-9632</f>
        <v>50368</v>
      </c>
      <c r="J1495" s="8">
        <v>50368</v>
      </c>
      <c r="L1495" s="8">
        <v>50368</v>
      </c>
      <c r="N1495" s="8">
        <f>+H1495-J1495</f>
        <v>0</v>
      </c>
      <c r="P1495" s="8">
        <f>+J1495-L1495</f>
        <v>0</v>
      </c>
    </row>
    <row r="1496" spans="2:16" x14ac:dyDescent="0.25">
      <c r="D1496" s="3" t="s">
        <v>38</v>
      </c>
      <c r="F1496" s="7">
        <v>50299030</v>
      </c>
      <c r="H1496" s="8">
        <v>50000</v>
      </c>
      <c r="J1496" s="8">
        <v>50000</v>
      </c>
      <c r="L1496" s="8">
        <v>50000</v>
      </c>
      <c r="N1496" s="8">
        <v>0</v>
      </c>
      <c r="P1496" s="8">
        <v>0</v>
      </c>
    </row>
    <row r="1497" spans="2:16" x14ac:dyDescent="0.25">
      <c r="C1497" s="11" t="s">
        <v>177</v>
      </c>
    </row>
    <row r="1498" spans="2:16" x14ac:dyDescent="0.25">
      <c r="C1498" s="11" t="s">
        <v>125</v>
      </c>
      <c r="H1498" s="17">
        <f>SUM(H1499:H1505)</f>
        <v>707670.15</v>
      </c>
      <c r="J1498" s="17">
        <f>SUM(J1499:J1505)</f>
        <v>707670.15</v>
      </c>
      <c r="L1498" s="17">
        <f>SUM(L1499:L1505)</f>
        <v>689766.15</v>
      </c>
      <c r="N1498" s="17">
        <f>SUM(N1499:N1505)</f>
        <v>0</v>
      </c>
      <c r="P1498" s="17">
        <f>SUM(P1499:P1505)</f>
        <v>17904</v>
      </c>
    </row>
    <row r="1499" spans="2:16" x14ac:dyDescent="0.25">
      <c r="D1499" s="3" t="s">
        <v>744</v>
      </c>
      <c r="F1499" s="7">
        <v>50201010</v>
      </c>
      <c r="H1499" s="8">
        <v>250000</v>
      </c>
      <c r="J1499" s="8">
        <v>250000</v>
      </c>
      <c r="L1499" s="8">
        <v>250000</v>
      </c>
      <c r="N1499" s="8">
        <v>0</v>
      </c>
      <c r="P1499" s="8">
        <v>0</v>
      </c>
    </row>
    <row r="1500" spans="2:16" x14ac:dyDescent="0.25">
      <c r="D1500" s="3" t="s">
        <v>19</v>
      </c>
      <c r="F1500" s="7">
        <v>50202010</v>
      </c>
      <c r="H1500" s="8">
        <f>200000-1.6</f>
        <v>199998.4</v>
      </c>
      <c r="J1500" s="8">
        <v>199998.4</v>
      </c>
      <c r="L1500" s="8">
        <v>199998.4</v>
      </c>
      <c r="N1500" s="8">
        <f>+H1500-J1500</f>
        <v>0</v>
      </c>
      <c r="P1500" s="8">
        <f>+J1500-L1500</f>
        <v>0</v>
      </c>
    </row>
    <row r="1501" spans="2:16" x14ac:dyDescent="0.25">
      <c r="D1501" s="3" t="s">
        <v>36</v>
      </c>
      <c r="F1501" s="7">
        <v>50203010</v>
      </c>
      <c r="H1501" s="8">
        <v>8346.75</v>
      </c>
      <c r="J1501" s="8">
        <v>8346.75</v>
      </c>
      <c r="L1501" s="8">
        <v>8346.75</v>
      </c>
      <c r="N1501" s="8">
        <v>0</v>
      </c>
      <c r="P1501" s="8">
        <v>0</v>
      </c>
    </row>
    <row r="1502" spans="2:16" x14ac:dyDescent="0.25">
      <c r="D1502" s="3" t="s">
        <v>20</v>
      </c>
      <c r="F1502" s="7">
        <v>50203090</v>
      </c>
      <c r="H1502" s="8">
        <v>170000</v>
      </c>
      <c r="J1502" s="8">
        <v>170000</v>
      </c>
      <c r="L1502" s="8">
        <v>170000</v>
      </c>
      <c r="N1502" s="8">
        <v>0</v>
      </c>
      <c r="P1502" s="8">
        <v>0</v>
      </c>
    </row>
    <row r="1503" spans="2:16" x14ac:dyDescent="0.25">
      <c r="D1503" s="3" t="s">
        <v>37</v>
      </c>
      <c r="F1503" s="7">
        <v>50203990</v>
      </c>
      <c r="H1503" s="8">
        <v>49325</v>
      </c>
      <c r="J1503" s="8">
        <v>49325</v>
      </c>
      <c r="L1503" s="8">
        <v>49325</v>
      </c>
      <c r="N1503" s="8">
        <v>0</v>
      </c>
      <c r="P1503" s="8">
        <v>0</v>
      </c>
    </row>
    <row r="1504" spans="2:16" x14ac:dyDescent="0.25">
      <c r="D1504" s="3" t="s">
        <v>26</v>
      </c>
      <c r="F1504" s="7">
        <v>50212990</v>
      </c>
      <c r="H1504" s="8">
        <v>20000</v>
      </c>
      <c r="J1504" s="8">
        <v>20000</v>
      </c>
      <c r="L1504" s="8">
        <v>2096</v>
      </c>
      <c r="N1504" s="8">
        <v>0</v>
      </c>
      <c r="P1504" s="8">
        <v>17904</v>
      </c>
    </row>
    <row r="1505" spans="2:16" x14ac:dyDescent="0.25">
      <c r="D1505" s="3" t="s">
        <v>91</v>
      </c>
      <c r="F1505" s="7">
        <v>50299020</v>
      </c>
      <c r="H1505" s="8">
        <v>10000</v>
      </c>
      <c r="J1505" s="8">
        <v>10000</v>
      </c>
      <c r="L1505" s="8">
        <v>10000</v>
      </c>
      <c r="N1505" s="8">
        <v>0</v>
      </c>
      <c r="P1505" s="8">
        <v>0</v>
      </c>
    </row>
    <row r="1506" spans="2:16" x14ac:dyDescent="0.25">
      <c r="C1506" s="11" t="s">
        <v>772</v>
      </c>
      <c r="H1506" s="3"/>
      <c r="I1506" s="3"/>
      <c r="J1506" s="3"/>
      <c r="K1506" s="3"/>
      <c r="L1506" s="3"/>
      <c r="M1506" s="3"/>
      <c r="N1506" s="3"/>
      <c r="O1506" s="3"/>
      <c r="P1506" s="3"/>
    </row>
    <row r="1507" spans="2:16" x14ac:dyDescent="0.25">
      <c r="C1507" s="11" t="s">
        <v>773</v>
      </c>
      <c r="H1507" s="17">
        <f>SUM(H1508:H1512)</f>
        <v>312085.5</v>
      </c>
      <c r="J1507" s="17">
        <f>SUM(J1508:J1512)</f>
        <v>312085.5</v>
      </c>
      <c r="L1507" s="17">
        <f>SUM(L1508:L1512)</f>
        <v>312085.49</v>
      </c>
      <c r="N1507" s="17">
        <f>SUM(N1508:N1512)</f>
        <v>0</v>
      </c>
      <c r="P1507" s="17">
        <f>SUM(P1508:P1512)</f>
        <v>0.01</v>
      </c>
    </row>
    <row r="1508" spans="2:16" x14ac:dyDescent="0.25">
      <c r="D1508" s="3" t="s">
        <v>760</v>
      </c>
      <c r="F1508" s="7">
        <v>50201010</v>
      </c>
      <c r="H1508" s="8">
        <v>48000</v>
      </c>
      <c r="J1508" s="8">
        <v>48000</v>
      </c>
      <c r="L1508" s="8">
        <v>47999.99</v>
      </c>
      <c r="N1508" s="8">
        <v>0</v>
      </c>
      <c r="P1508" s="8">
        <v>0.01</v>
      </c>
    </row>
    <row r="1509" spans="2:16" x14ac:dyDescent="0.25">
      <c r="D1509" s="3" t="s">
        <v>36</v>
      </c>
      <c r="F1509" s="7">
        <v>50203010</v>
      </c>
      <c r="H1509" s="8">
        <v>23685.5</v>
      </c>
      <c r="J1509" s="8">
        <v>23685.5</v>
      </c>
      <c r="L1509" s="8">
        <v>23685.5</v>
      </c>
      <c r="N1509" s="8">
        <v>0</v>
      </c>
      <c r="P1509" s="8">
        <v>0</v>
      </c>
    </row>
    <row r="1510" spans="2:16" x14ac:dyDescent="0.25">
      <c r="D1510" s="3" t="s">
        <v>25</v>
      </c>
      <c r="F1510" s="7">
        <v>50211990</v>
      </c>
      <c r="H1510" s="8">
        <f>85000-31600</f>
        <v>53400</v>
      </c>
      <c r="J1510" s="8">
        <v>53400</v>
      </c>
      <c r="L1510" s="8">
        <v>53400</v>
      </c>
      <c r="N1510" s="8">
        <v>0</v>
      </c>
      <c r="P1510" s="8">
        <f>+J1510-L1510</f>
        <v>0</v>
      </c>
    </row>
    <row r="1511" spans="2:16" x14ac:dyDescent="0.25">
      <c r="D1511" s="3" t="s">
        <v>91</v>
      </c>
      <c r="F1511" s="7">
        <v>50299020</v>
      </c>
      <c r="H1511" s="8">
        <v>12000</v>
      </c>
      <c r="J1511" s="8">
        <v>12000</v>
      </c>
      <c r="L1511" s="8">
        <v>12000</v>
      </c>
      <c r="N1511" s="8">
        <v>0</v>
      </c>
      <c r="P1511" s="8">
        <v>0</v>
      </c>
    </row>
    <row r="1512" spans="2:16" x14ac:dyDescent="0.25">
      <c r="D1512" s="3" t="s">
        <v>38</v>
      </c>
      <c r="F1512" s="7">
        <v>50299030</v>
      </c>
      <c r="H1512" s="8">
        <v>175000</v>
      </c>
      <c r="J1512" s="8">
        <v>175000</v>
      </c>
      <c r="L1512" s="8">
        <v>175000</v>
      </c>
      <c r="N1512" s="8">
        <v>0</v>
      </c>
      <c r="P1512" s="8">
        <v>0</v>
      </c>
    </row>
    <row r="1514" spans="2:16" x14ac:dyDescent="0.25">
      <c r="C1514" s="11" t="s">
        <v>331</v>
      </c>
      <c r="H1514" s="17">
        <f>+H1489+H1476</f>
        <v>8190326.5700000003</v>
      </c>
      <c r="I1514" s="8" t="s">
        <v>0</v>
      </c>
      <c r="J1514" s="17">
        <f>+J1489+J1476</f>
        <v>8190326.5700000003</v>
      </c>
      <c r="K1514" s="8" t="s">
        <v>0</v>
      </c>
      <c r="L1514" s="17">
        <f>+L1489+L1476</f>
        <v>8163186.5600000005</v>
      </c>
      <c r="M1514" s="8" t="s">
        <v>0</v>
      </c>
      <c r="N1514" s="17">
        <f>+N1489+N1476</f>
        <v>0</v>
      </c>
      <c r="O1514" s="8" t="s">
        <v>0</v>
      </c>
      <c r="P1514" s="17">
        <f>+P1489+P1476</f>
        <v>27140.01</v>
      </c>
    </row>
    <row r="1516" spans="2:16" x14ac:dyDescent="0.25">
      <c r="B1516" s="11" t="s">
        <v>332</v>
      </c>
      <c r="F1516" s="7">
        <v>8751</v>
      </c>
    </row>
    <row r="1517" spans="2:16" x14ac:dyDescent="0.25">
      <c r="B1517" s="11" t="s">
        <v>160</v>
      </c>
      <c r="F1517" s="7">
        <v>100</v>
      </c>
      <c r="H1517" s="17">
        <f>SUM(H1518:H1531)</f>
        <v>43748221.259999998</v>
      </c>
      <c r="J1517" s="17">
        <f>SUM(J1518:J1531)</f>
        <v>43748221.259999998</v>
      </c>
      <c r="L1517" s="17">
        <f>SUM(L1518:L1531)</f>
        <v>43066264.450000003</v>
      </c>
      <c r="N1517" s="17">
        <f>SUM(N1518:N1531)</f>
        <v>0</v>
      </c>
      <c r="P1517" s="17">
        <f>SUM(P1518:P1531)</f>
        <v>681956.81</v>
      </c>
    </row>
    <row r="1518" spans="2:16" x14ac:dyDescent="0.25">
      <c r="D1518" s="3" t="s">
        <v>8</v>
      </c>
      <c r="F1518" s="7">
        <v>50101010</v>
      </c>
      <c r="H1518" s="8">
        <v>13425072.470000001</v>
      </c>
      <c r="J1518" s="8">
        <v>13425072.470000001</v>
      </c>
      <c r="L1518" s="8">
        <v>13425072.470000001</v>
      </c>
      <c r="N1518" s="8">
        <v>0</v>
      </c>
      <c r="P1518" s="8">
        <v>0</v>
      </c>
    </row>
    <row r="1519" spans="2:16" x14ac:dyDescent="0.25">
      <c r="D1519" s="3" t="s">
        <v>9</v>
      </c>
      <c r="F1519" s="7">
        <v>50101020</v>
      </c>
      <c r="H1519" s="8">
        <v>24369966</v>
      </c>
      <c r="J1519" s="8">
        <v>24369966</v>
      </c>
      <c r="L1519" s="8">
        <v>23688009.190000001</v>
      </c>
      <c r="N1519" s="8">
        <v>0</v>
      </c>
      <c r="P1519" s="8">
        <v>681956.81</v>
      </c>
    </row>
    <row r="1520" spans="2:16" x14ac:dyDescent="0.25">
      <c r="D1520" s="3" t="s">
        <v>162</v>
      </c>
      <c r="F1520" s="7">
        <v>50102010</v>
      </c>
      <c r="H1520" s="8">
        <v>736552.69</v>
      </c>
      <c r="J1520" s="8">
        <v>736552.69</v>
      </c>
      <c r="L1520" s="8">
        <v>736552.69</v>
      </c>
      <c r="N1520" s="8">
        <v>0</v>
      </c>
      <c r="P1520" s="8">
        <v>0</v>
      </c>
    </row>
    <row r="1521" spans="2:16" x14ac:dyDescent="0.25">
      <c r="D1521" s="3" t="s">
        <v>776</v>
      </c>
      <c r="F1521" s="7">
        <v>50102020</v>
      </c>
      <c r="H1521" s="8">
        <v>237000</v>
      </c>
      <c r="J1521" s="8">
        <v>237000</v>
      </c>
      <c r="L1521" s="8">
        <v>237000</v>
      </c>
      <c r="N1521" s="8">
        <v>0</v>
      </c>
      <c r="P1521" s="8">
        <v>0</v>
      </c>
    </row>
    <row r="1522" spans="2:16" x14ac:dyDescent="0.25">
      <c r="D1522" s="3" t="s">
        <v>60</v>
      </c>
      <c r="F1522" s="7">
        <v>50102030</v>
      </c>
      <c r="H1522" s="8">
        <v>90000</v>
      </c>
      <c r="J1522" s="8">
        <v>90000</v>
      </c>
      <c r="L1522" s="8">
        <v>90000</v>
      </c>
      <c r="N1522" s="8">
        <v>0</v>
      </c>
      <c r="P1522" s="8">
        <v>0</v>
      </c>
    </row>
    <row r="1523" spans="2:16" x14ac:dyDescent="0.25">
      <c r="D1523" s="3" t="s">
        <v>11</v>
      </c>
      <c r="F1523" s="7">
        <v>50102040</v>
      </c>
      <c r="H1523" s="8">
        <v>160000</v>
      </c>
      <c r="J1523" s="8">
        <v>160000</v>
      </c>
      <c r="L1523" s="8">
        <v>160000</v>
      </c>
      <c r="N1523" s="8">
        <v>0</v>
      </c>
      <c r="P1523" s="8">
        <v>0</v>
      </c>
    </row>
    <row r="1524" spans="2:16" x14ac:dyDescent="0.25">
      <c r="D1524" s="3" t="s">
        <v>61</v>
      </c>
      <c r="F1524" s="7">
        <v>50102120</v>
      </c>
      <c r="H1524" s="8">
        <v>40000</v>
      </c>
      <c r="J1524" s="8">
        <v>40000</v>
      </c>
      <c r="L1524" s="8">
        <v>40000</v>
      </c>
      <c r="N1524" s="8">
        <v>0</v>
      </c>
      <c r="P1524" s="8">
        <v>0</v>
      </c>
    </row>
    <row r="1525" spans="2:16" x14ac:dyDescent="0.25">
      <c r="D1525" s="3" t="s">
        <v>12</v>
      </c>
      <c r="F1525" s="7">
        <v>50102140</v>
      </c>
      <c r="H1525" s="8">
        <v>2514302</v>
      </c>
      <c r="J1525" s="8">
        <v>2514302</v>
      </c>
      <c r="L1525" s="8">
        <v>2514302</v>
      </c>
      <c r="N1525" s="8">
        <v>0</v>
      </c>
      <c r="P1525" s="8">
        <v>0</v>
      </c>
    </row>
    <row r="1526" spans="2:16" x14ac:dyDescent="0.25">
      <c r="D1526" s="3" t="s">
        <v>13</v>
      </c>
      <c r="F1526" s="7">
        <v>50102150</v>
      </c>
      <c r="H1526" s="8">
        <v>205000</v>
      </c>
      <c r="J1526" s="8">
        <v>205000</v>
      </c>
      <c r="L1526" s="8">
        <v>205000</v>
      </c>
      <c r="N1526" s="8">
        <v>0</v>
      </c>
      <c r="P1526" s="8">
        <v>0</v>
      </c>
    </row>
    <row r="1527" spans="2:16" x14ac:dyDescent="0.25">
      <c r="D1527" s="3" t="s">
        <v>164</v>
      </c>
      <c r="F1527" s="7">
        <v>50103010</v>
      </c>
      <c r="H1527" s="8">
        <v>1613285.5</v>
      </c>
      <c r="J1527" s="8">
        <v>1613285.5</v>
      </c>
      <c r="L1527" s="8">
        <v>1613285.5</v>
      </c>
      <c r="N1527" s="8">
        <v>0</v>
      </c>
      <c r="P1527" s="8">
        <v>0</v>
      </c>
    </row>
    <row r="1528" spans="2:16" x14ac:dyDescent="0.25">
      <c r="D1528" s="3" t="s">
        <v>14</v>
      </c>
      <c r="F1528" s="7">
        <v>50103020</v>
      </c>
      <c r="H1528" s="8">
        <v>37000</v>
      </c>
      <c r="J1528" s="8">
        <v>37000</v>
      </c>
      <c r="L1528" s="8">
        <v>37000</v>
      </c>
      <c r="N1528" s="8">
        <v>0</v>
      </c>
      <c r="P1528" s="8">
        <v>0</v>
      </c>
    </row>
    <row r="1529" spans="2:16" x14ac:dyDescent="0.25">
      <c r="D1529" s="3" t="s">
        <v>15</v>
      </c>
      <c r="F1529" s="7">
        <v>50103030</v>
      </c>
      <c r="H1529" s="8">
        <v>138025</v>
      </c>
      <c r="J1529" s="8">
        <v>138025</v>
      </c>
      <c r="L1529" s="8">
        <v>138025</v>
      </c>
      <c r="N1529" s="8">
        <v>0</v>
      </c>
      <c r="P1529" s="8">
        <v>0</v>
      </c>
    </row>
    <row r="1530" spans="2:16" x14ac:dyDescent="0.25">
      <c r="D1530" s="3" t="s">
        <v>165</v>
      </c>
      <c r="F1530" s="7">
        <v>50103040</v>
      </c>
      <c r="H1530" s="8">
        <v>37017.599999999999</v>
      </c>
      <c r="J1530" s="8">
        <v>37017.599999999999</v>
      </c>
      <c r="L1530" s="8">
        <v>37017.599999999999</v>
      </c>
      <c r="N1530" s="8">
        <v>0</v>
      </c>
      <c r="P1530" s="8">
        <v>0</v>
      </c>
    </row>
    <row r="1531" spans="2:16" x14ac:dyDescent="0.25">
      <c r="D1531" s="3" t="s">
        <v>16</v>
      </c>
      <c r="F1531" s="7">
        <v>50104990</v>
      </c>
      <c r="H1531" s="8">
        <v>145000</v>
      </c>
      <c r="J1531" s="8">
        <v>145000</v>
      </c>
      <c r="L1531" s="8">
        <v>145000</v>
      </c>
      <c r="N1531" s="8">
        <v>0</v>
      </c>
      <c r="P1531" s="8">
        <v>0</v>
      </c>
    </row>
    <row r="1532" spans="2:16" x14ac:dyDescent="0.25">
      <c r="D1532" s="3" t="s">
        <v>126</v>
      </c>
    </row>
    <row r="1533" spans="2:16" x14ac:dyDescent="0.25">
      <c r="B1533" s="11" t="s">
        <v>166</v>
      </c>
      <c r="C1533" s="11"/>
      <c r="D1533" s="11"/>
      <c r="E1533" s="11"/>
      <c r="F1533" s="7">
        <v>200</v>
      </c>
      <c r="H1533" s="17">
        <f>SUM(H1534:H1541)</f>
        <v>9088280.9600000009</v>
      </c>
      <c r="J1533" s="17">
        <f>SUM(J1534:J1541)</f>
        <v>9088280.9600000009</v>
      </c>
      <c r="L1533" s="17">
        <f>SUM(L1534:L1541)</f>
        <v>8857293.4900000002</v>
      </c>
      <c r="N1533" s="17">
        <f>SUM(N1534:N1541)</f>
        <v>0</v>
      </c>
      <c r="P1533" s="17">
        <f>SUM(P1534:P1541)</f>
        <v>230987.47000000023</v>
      </c>
    </row>
    <row r="1534" spans="2:16" x14ac:dyDescent="0.25">
      <c r="D1534" s="3" t="s">
        <v>21</v>
      </c>
      <c r="F1534" s="7">
        <v>50204010</v>
      </c>
      <c r="H1534" s="8">
        <v>99779.98</v>
      </c>
      <c r="J1534" s="8">
        <v>99779.98</v>
      </c>
      <c r="L1534" s="8">
        <v>73348</v>
      </c>
      <c r="N1534" s="8">
        <v>0</v>
      </c>
      <c r="P1534" s="8">
        <v>26431.98</v>
      </c>
    </row>
    <row r="1535" spans="2:16" x14ac:dyDescent="0.25">
      <c r="D1535" s="3" t="s">
        <v>63</v>
      </c>
      <c r="F1535" s="7">
        <v>50204020</v>
      </c>
      <c r="H1535" s="8">
        <v>907071.98</v>
      </c>
      <c r="J1535" s="8">
        <v>907071.98</v>
      </c>
      <c r="L1535" s="8">
        <v>907071.98</v>
      </c>
      <c r="N1535" s="8">
        <v>0</v>
      </c>
      <c r="P1535" s="8">
        <v>0</v>
      </c>
    </row>
    <row r="1536" spans="2:16" x14ac:dyDescent="0.25">
      <c r="D1536" s="3" t="s">
        <v>22</v>
      </c>
      <c r="F1536" s="7">
        <v>50205020</v>
      </c>
      <c r="H1536" s="8">
        <v>64000</v>
      </c>
      <c r="J1536" s="8">
        <v>64000</v>
      </c>
      <c r="L1536" s="8">
        <v>64000</v>
      </c>
      <c r="N1536" s="8">
        <v>0</v>
      </c>
      <c r="P1536" s="8">
        <v>0</v>
      </c>
    </row>
    <row r="1537" spans="2:16" x14ac:dyDescent="0.25">
      <c r="D1537" s="3" t="s">
        <v>26</v>
      </c>
      <c r="F1537" s="7">
        <v>50212990</v>
      </c>
      <c r="H1537" s="8">
        <f>7955911-500000</f>
        <v>7455911</v>
      </c>
      <c r="J1537" s="8">
        <f>7955911-500000</f>
        <v>7455911</v>
      </c>
      <c r="L1537" s="8">
        <v>7251415.5099999998</v>
      </c>
      <c r="N1537" s="8">
        <v>0</v>
      </c>
      <c r="P1537" s="8">
        <f>+J1537-L1537</f>
        <v>204495.49000000022</v>
      </c>
    </row>
    <row r="1538" spans="2:16" x14ac:dyDescent="0.25">
      <c r="D1538" s="3" t="s">
        <v>117</v>
      </c>
      <c r="F1538" s="7">
        <v>50213040</v>
      </c>
      <c r="H1538" s="8">
        <v>18400</v>
      </c>
      <c r="J1538" s="8">
        <v>18400</v>
      </c>
      <c r="L1538" s="8">
        <v>18400</v>
      </c>
      <c r="N1538" s="8">
        <v>0</v>
      </c>
      <c r="P1538" s="8">
        <v>0</v>
      </c>
    </row>
    <row r="1539" spans="2:16" x14ac:dyDescent="0.25">
      <c r="D1539" s="3" t="s">
        <v>27</v>
      </c>
      <c r="F1539" s="7">
        <v>50213050</v>
      </c>
      <c r="H1539" s="8">
        <v>163800</v>
      </c>
      <c r="J1539" s="8">
        <v>163800</v>
      </c>
      <c r="L1539" s="8">
        <v>163740</v>
      </c>
      <c r="N1539" s="8">
        <v>0</v>
      </c>
      <c r="P1539" s="8">
        <v>60</v>
      </c>
    </row>
    <row r="1540" spans="2:16" x14ac:dyDescent="0.25">
      <c r="D1540" s="3" t="s">
        <v>83</v>
      </c>
      <c r="F1540" s="7">
        <v>50299020</v>
      </c>
      <c r="H1540" s="8">
        <v>179518</v>
      </c>
      <c r="J1540" s="8">
        <v>179518</v>
      </c>
      <c r="L1540" s="8">
        <v>179518</v>
      </c>
      <c r="N1540" s="8">
        <v>0</v>
      </c>
      <c r="P1540" s="8">
        <v>0</v>
      </c>
    </row>
    <row r="1541" spans="2:16" x14ac:dyDescent="0.25">
      <c r="D1541" s="3" t="s">
        <v>38</v>
      </c>
      <c r="F1541" s="7">
        <v>50299030</v>
      </c>
      <c r="H1541" s="8">
        <v>199800</v>
      </c>
      <c r="J1541" s="8">
        <v>199800</v>
      </c>
      <c r="L1541" s="8">
        <v>199800</v>
      </c>
      <c r="N1541" s="8">
        <v>0</v>
      </c>
      <c r="P1541" s="8">
        <v>0</v>
      </c>
    </row>
    <row r="1543" spans="2:16" x14ac:dyDescent="0.25">
      <c r="B1543" s="11" t="s">
        <v>208</v>
      </c>
      <c r="F1543" s="7">
        <v>300</v>
      </c>
      <c r="H1543" s="17">
        <f>SUM(H1544:H1553)</f>
        <v>10481500</v>
      </c>
      <c r="J1543" s="17">
        <f>SUM(J1544:J1553)</f>
        <v>10481500</v>
      </c>
      <c r="L1543" s="17">
        <f>SUM(L1544:L1553)</f>
        <v>7019160.6299999999</v>
      </c>
      <c r="N1543" s="17">
        <f>SUM(N1544:N1553)</f>
        <v>0</v>
      </c>
      <c r="P1543" s="17">
        <f>SUM(P1544:P1553)</f>
        <v>3462339.37</v>
      </c>
    </row>
    <row r="1544" spans="2:16" x14ac:dyDescent="0.25">
      <c r="D1544" s="3" t="s">
        <v>127</v>
      </c>
      <c r="F1544" s="7">
        <v>10705020</v>
      </c>
      <c r="H1544" s="8">
        <v>300000</v>
      </c>
      <c r="J1544" s="8">
        <v>300000</v>
      </c>
      <c r="L1544" s="8">
        <v>298500</v>
      </c>
      <c r="N1544" s="8">
        <v>0</v>
      </c>
      <c r="P1544" s="8">
        <v>1500</v>
      </c>
    </row>
    <row r="1545" spans="2:16" x14ac:dyDescent="0.25">
      <c r="D1545" s="3" t="s">
        <v>334</v>
      </c>
      <c r="F1545" s="7">
        <v>10705080</v>
      </c>
    </row>
    <row r="1546" spans="2:16" x14ac:dyDescent="0.25">
      <c r="E1546" s="3" t="s">
        <v>128</v>
      </c>
      <c r="H1546" s="8">
        <v>2551500</v>
      </c>
      <c r="J1546" s="8">
        <v>2551500</v>
      </c>
      <c r="L1546" s="8">
        <v>2551500</v>
      </c>
      <c r="N1546" s="8">
        <v>0</v>
      </c>
      <c r="P1546" s="8">
        <v>0</v>
      </c>
    </row>
    <row r="1547" spans="2:16" x14ac:dyDescent="0.25">
      <c r="E1547" s="3" t="s">
        <v>335</v>
      </c>
      <c r="H1547" s="8">
        <v>1530000</v>
      </c>
      <c r="J1547" s="8">
        <v>1530000</v>
      </c>
      <c r="L1547" s="8">
        <v>0</v>
      </c>
      <c r="N1547" s="8">
        <v>0</v>
      </c>
      <c r="P1547" s="8">
        <v>1530000</v>
      </c>
    </row>
    <row r="1548" spans="2:16" x14ac:dyDescent="0.25">
      <c r="D1548" s="3" t="s">
        <v>336</v>
      </c>
    </row>
    <row r="1549" spans="2:16" x14ac:dyDescent="0.25">
      <c r="E1549" s="3" t="s">
        <v>129</v>
      </c>
      <c r="F1549" s="7">
        <v>10705140</v>
      </c>
      <c r="H1549" s="8">
        <v>2000000</v>
      </c>
      <c r="J1549" s="8">
        <v>2000000</v>
      </c>
      <c r="L1549" s="8">
        <v>1575000</v>
      </c>
      <c r="N1549" s="8">
        <v>0</v>
      </c>
      <c r="P1549" s="8">
        <v>425000</v>
      </c>
    </row>
    <row r="1550" spans="2:16" x14ac:dyDescent="0.25">
      <c r="D1550" s="3" t="s">
        <v>337</v>
      </c>
    </row>
    <row r="1551" spans="2:16" x14ac:dyDescent="0.25">
      <c r="E1551" s="3" t="s">
        <v>667</v>
      </c>
      <c r="F1551" s="7">
        <v>10704010</v>
      </c>
      <c r="H1551" s="8">
        <v>2600000</v>
      </c>
      <c r="J1551" s="8">
        <v>2600000</v>
      </c>
      <c r="L1551" s="8">
        <v>2184780.63</v>
      </c>
      <c r="N1551" s="8">
        <v>0</v>
      </c>
      <c r="P1551" s="8">
        <v>415219.37</v>
      </c>
    </row>
    <row r="1552" spans="2:16" x14ac:dyDescent="0.25">
      <c r="D1552" s="3" t="s">
        <v>338</v>
      </c>
    </row>
    <row r="1553" spans="2:17" x14ac:dyDescent="0.25">
      <c r="E1553" s="3" t="s">
        <v>668</v>
      </c>
      <c r="F1553" s="7">
        <v>10703010</v>
      </c>
      <c r="H1553" s="8">
        <v>1500000</v>
      </c>
      <c r="J1553" s="8">
        <v>1500000</v>
      </c>
      <c r="L1553" s="8">
        <v>409380</v>
      </c>
      <c r="N1553" s="8">
        <v>0</v>
      </c>
      <c r="P1553" s="8">
        <v>1090620</v>
      </c>
    </row>
    <row r="1555" spans="2:17" x14ac:dyDescent="0.25">
      <c r="C1555" s="11" t="s">
        <v>333</v>
      </c>
      <c r="H1555" s="17">
        <f>+H1543+H1533+H1517</f>
        <v>63318002.219999999</v>
      </c>
      <c r="I1555" s="8" t="s">
        <v>0</v>
      </c>
      <c r="J1555" s="17">
        <f>+J1543+J1533+J1517</f>
        <v>63318002.219999999</v>
      </c>
      <c r="K1555" s="8" t="s">
        <v>0</v>
      </c>
      <c r="L1555" s="17">
        <f>+L1543+L1533+L1517</f>
        <v>58942718.570000008</v>
      </c>
      <c r="M1555" s="8" t="s">
        <v>0</v>
      </c>
      <c r="N1555" s="17">
        <f>+N1543+N1533+N1517</f>
        <v>0</v>
      </c>
      <c r="O1555" s="8" t="s">
        <v>0</v>
      </c>
      <c r="P1555" s="17">
        <f>+P1543+P1533+P1517</f>
        <v>4375283.6500000004</v>
      </c>
    </row>
    <row r="1557" spans="2:17" x14ac:dyDescent="0.25">
      <c r="B1557" s="11" t="s">
        <v>339</v>
      </c>
      <c r="F1557" s="7">
        <v>8853</v>
      </c>
    </row>
    <row r="1558" spans="2:17" x14ac:dyDescent="0.25">
      <c r="B1558" s="11" t="s">
        <v>160</v>
      </c>
      <c r="F1558" s="7">
        <v>100</v>
      </c>
      <c r="H1558" s="17">
        <f>SUM(H1559:H1569)</f>
        <v>23469617.890000001</v>
      </c>
      <c r="J1558" s="17">
        <f>SUM(J1559:J1569)</f>
        <v>23469617.890000001</v>
      </c>
      <c r="L1558" s="17">
        <f>SUM(L1559:L1569)</f>
        <v>20894977.52</v>
      </c>
      <c r="N1558" s="17">
        <f>SUM(N1559:N1569)</f>
        <v>0</v>
      </c>
      <c r="P1558" s="17">
        <f>SUM(P1559:P1569)</f>
        <v>2574640.37</v>
      </c>
      <c r="Q1558" s="8"/>
    </row>
    <row r="1559" spans="2:17" x14ac:dyDescent="0.25">
      <c r="D1559" s="3" t="s">
        <v>8</v>
      </c>
      <c r="F1559" s="7">
        <v>50101010</v>
      </c>
      <c r="H1559" s="8">
        <v>5047166.4800000004</v>
      </c>
      <c r="J1559" s="8">
        <v>5047166.4800000004</v>
      </c>
      <c r="L1559" s="8">
        <v>5047166.4800000004</v>
      </c>
      <c r="N1559" s="8">
        <v>0</v>
      </c>
      <c r="P1559" s="8">
        <v>0</v>
      </c>
    </row>
    <row r="1560" spans="2:17" x14ac:dyDescent="0.25">
      <c r="D1560" s="3" t="s">
        <v>9</v>
      </c>
      <c r="F1560" s="7">
        <v>50101020</v>
      </c>
      <c r="H1560" s="8">
        <v>16394671</v>
      </c>
      <c r="J1560" s="8">
        <v>16394671</v>
      </c>
      <c r="L1560" s="8">
        <v>13820030.630000001</v>
      </c>
      <c r="N1560" s="8">
        <v>0</v>
      </c>
      <c r="P1560" s="8">
        <v>2574640.37</v>
      </c>
    </row>
    <row r="1561" spans="2:17" x14ac:dyDescent="0.25">
      <c r="D1561" s="3" t="s">
        <v>162</v>
      </c>
      <c r="F1561" s="7">
        <v>50102010</v>
      </c>
      <c r="H1561" s="8">
        <v>581115.14</v>
      </c>
      <c r="J1561" s="8">
        <v>581115.14</v>
      </c>
      <c r="L1561" s="8">
        <v>581115.14</v>
      </c>
      <c r="N1561" s="8">
        <v>0</v>
      </c>
      <c r="P1561" s="8">
        <v>0</v>
      </c>
    </row>
    <row r="1562" spans="2:17" x14ac:dyDescent="0.25">
      <c r="D1562" s="3" t="s">
        <v>11</v>
      </c>
      <c r="F1562" s="7">
        <v>50102040</v>
      </c>
      <c r="H1562" s="8">
        <v>120000</v>
      </c>
      <c r="J1562" s="8">
        <v>120000</v>
      </c>
      <c r="L1562" s="8">
        <v>120000</v>
      </c>
      <c r="N1562" s="8">
        <v>0</v>
      </c>
      <c r="P1562" s="8">
        <v>0</v>
      </c>
    </row>
    <row r="1563" spans="2:17" x14ac:dyDescent="0.25">
      <c r="D1563" s="3" t="s">
        <v>61</v>
      </c>
      <c r="F1563" s="7">
        <v>50102120</v>
      </c>
      <c r="H1563" s="8">
        <v>60000</v>
      </c>
      <c r="J1563" s="8">
        <v>60000</v>
      </c>
      <c r="L1563" s="8">
        <v>60000</v>
      </c>
      <c r="N1563" s="8">
        <v>0</v>
      </c>
      <c r="P1563" s="8">
        <v>0</v>
      </c>
    </row>
    <row r="1564" spans="2:17" x14ac:dyDescent="0.25">
      <c r="D1564" s="3" t="s">
        <v>12</v>
      </c>
      <c r="F1564" s="7">
        <v>50102140</v>
      </c>
      <c r="H1564" s="8">
        <v>418082</v>
      </c>
      <c r="J1564" s="8">
        <v>418082</v>
      </c>
      <c r="L1564" s="8">
        <v>418082</v>
      </c>
      <c r="N1564" s="8">
        <v>0</v>
      </c>
      <c r="P1564" s="8">
        <v>0</v>
      </c>
    </row>
    <row r="1565" spans="2:17" x14ac:dyDescent="0.25">
      <c r="D1565" s="3" t="s">
        <v>164</v>
      </c>
      <c r="F1565" s="7">
        <v>50103010</v>
      </c>
      <c r="H1565" s="8">
        <v>606745.27</v>
      </c>
      <c r="J1565" s="8">
        <v>606745.27</v>
      </c>
      <c r="L1565" s="8">
        <v>606745.27</v>
      </c>
      <c r="N1565" s="8">
        <v>0</v>
      </c>
      <c r="P1565" s="8">
        <v>0</v>
      </c>
    </row>
    <row r="1566" spans="2:17" x14ac:dyDescent="0.25">
      <c r="D1566" s="3" t="s">
        <v>14</v>
      </c>
      <c r="F1566" s="7">
        <v>50103020</v>
      </c>
      <c r="H1566" s="8">
        <v>29100</v>
      </c>
      <c r="J1566" s="8">
        <v>29100</v>
      </c>
      <c r="L1566" s="8">
        <v>29100</v>
      </c>
      <c r="N1566" s="8">
        <v>0</v>
      </c>
      <c r="P1566" s="8">
        <v>0</v>
      </c>
    </row>
    <row r="1567" spans="2:17" x14ac:dyDescent="0.25">
      <c r="D1567" s="3" t="s">
        <v>15</v>
      </c>
      <c r="F1567" s="7">
        <v>50103030</v>
      </c>
      <c r="H1567" s="8">
        <v>63638</v>
      </c>
      <c r="J1567" s="8">
        <v>63638</v>
      </c>
      <c r="L1567" s="8">
        <v>63638</v>
      </c>
      <c r="N1567" s="8">
        <v>0</v>
      </c>
      <c r="P1567" s="8">
        <v>0</v>
      </c>
    </row>
    <row r="1568" spans="2:17" x14ac:dyDescent="0.25">
      <c r="D1568" s="3" t="s">
        <v>165</v>
      </c>
      <c r="F1568" s="7">
        <v>50103040</v>
      </c>
      <c r="H1568" s="8">
        <v>29100</v>
      </c>
      <c r="J1568" s="8">
        <v>29100</v>
      </c>
      <c r="L1568" s="8">
        <v>29100</v>
      </c>
      <c r="N1568" s="8">
        <v>0</v>
      </c>
      <c r="P1568" s="8">
        <v>0</v>
      </c>
    </row>
    <row r="1569" spans="2:16" x14ac:dyDescent="0.25">
      <c r="D1569" s="3" t="s">
        <v>16</v>
      </c>
      <c r="F1569" s="7">
        <v>50104990</v>
      </c>
      <c r="H1569" s="8">
        <v>120000</v>
      </c>
      <c r="J1569" s="8">
        <v>120000</v>
      </c>
      <c r="L1569" s="8">
        <v>120000</v>
      </c>
      <c r="N1569" s="8">
        <v>0</v>
      </c>
      <c r="P1569" s="8">
        <v>0</v>
      </c>
    </row>
    <row r="1570" spans="2:16" x14ac:dyDescent="0.25">
      <c r="B1570" s="11" t="s">
        <v>166</v>
      </c>
      <c r="C1570" s="11"/>
      <c r="D1570" s="11"/>
      <c r="E1570" s="11"/>
      <c r="F1570" s="7">
        <v>200</v>
      </c>
      <c r="H1570" s="17">
        <f>SUM(H1571:H1577)</f>
        <v>41278907.109999999</v>
      </c>
      <c r="J1570" s="17">
        <f>SUM(J1571:J1577)</f>
        <v>41278907.100000001</v>
      </c>
      <c r="L1570" s="17">
        <f>SUM(L1571:L1577)</f>
        <v>41171545.560000002</v>
      </c>
      <c r="N1570" s="17">
        <f>SUM(N1571:N1577)</f>
        <v>1.0000001639127731E-2</v>
      </c>
      <c r="P1570" s="17">
        <f>SUM(P1571:P1577)</f>
        <v>107361.53999999995</v>
      </c>
    </row>
    <row r="1571" spans="2:16" x14ac:dyDescent="0.25">
      <c r="D1571" s="3" t="s">
        <v>770</v>
      </c>
      <c r="F1571" s="7">
        <v>50203090</v>
      </c>
      <c r="H1571" s="8">
        <v>9866975.0999999996</v>
      </c>
      <c r="J1571" s="8">
        <v>9866975.0999999996</v>
      </c>
      <c r="L1571" s="8">
        <v>9866975.0999999996</v>
      </c>
      <c r="N1571" s="8">
        <v>0</v>
      </c>
      <c r="P1571" s="8">
        <f>+J1571-L1571</f>
        <v>0</v>
      </c>
    </row>
    <row r="1572" spans="2:16" x14ac:dyDescent="0.25">
      <c r="D1572" s="3" t="s">
        <v>21</v>
      </c>
      <c r="F1572" s="7">
        <v>50204010</v>
      </c>
      <c r="H1572" s="8">
        <v>27000</v>
      </c>
      <c r="J1572" s="8">
        <v>27000</v>
      </c>
      <c r="L1572" s="8">
        <v>12452</v>
      </c>
      <c r="N1572" s="8">
        <v>0</v>
      </c>
      <c r="P1572" s="8">
        <f t="shared" ref="P1572:P1577" si="10">+J1572-L1572</f>
        <v>14548</v>
      </c>
    </row>
    <row r="1573" spans="2:16" x14ac:dyDescent="0.25">
      <c r="D1573" s="3" t="s">
        <v>63</v>
      </c>
      <c r="F1573" s="7">
        <v>50204020</v>
      </c>
      <c r="H1573" s="8">
        <v>200000</v>
      </c>
      <c r="J1573" s="8">
        <v>200000</v>
      </c>
      <c r="L1573" s="8">
        <v>196616.92</v>
      </c>
      <c r="N1573" s="8">
        <v>0</v>
      </c>
      <c r="P1573" s="8">
        <f t="shared" si="10"/>
        <v>3383.0799999999872</v>
      </c>
    </row>
    <row r="1574" spans="2:16" x14ac:dyDescent="0.25">
      <c r="D1574" s="3" t="s">
        <v>22</v>
      </c>
      <c r="F1574" s="7">
        <v>50205020</v>
      </c>
      <c r="H1574" s="8">
        <v>41000</v>
      </c>
      <c r="J1574" s="8">
        <v>41000</v>
      </c>
      <c r="L1574" s="8">
        <v>41000</v>
      </c>
      <c r="N1574" s="8">
        <v>0</v>
      </c>
      <c r="P1574" s="8">
        <f t="shared" si="10"/>
        <v>0</v>
      </c>
    </row>
    <row r="1575" spans="2:16" x14ac:dyDescent="0.25">
      <c r="D1575" s="3" t="s">
        <v>26</v>
      </c>
      <c r="F1575" s="7">
        <v>50212990</v>
      </c>
      <c r="H1575" s="8">
        <f>8058056-600000</f>
        <v>7458056</v>
      </c>
      <c r="J1575" s="8">
        <f>8058056-600000</f>
        <v>7458056</v>
      </c>
      <c r="L1575" s="8">
        <v>7448998.54</v>
      </c>
      <c r="N1575" s="8">
        <f>+H1575-J1575</f>
        <v>0</v>
      </c>
      <c r="P1575" s="8">
        <f t="shared" si="10"/>
        <v>9057.4599999999627</v>
      </c>
    </row>
    <row r="1576" spans="2:16" x14ac:dyDescent="0.25">
      <c r="D1576" s="3" t="s">
        <v>117</v>
      </c>
      <c r="F1576" s="7">
        <v>50213040</v>
      </c>
      <c r="H1576" s="8">
        <v>15240</v>
      </c>
      <c r="J1576" s="8">
        <v>15240</v>
      </c>
      <c r="L1576" s="8">
        <v>15240</v>
      </c>
      <c r="N1576" s="8">
        <v>0</v>
      </c>
      <c r="P1576" s="8">
        <f t="shared" si="10"/>
        <v>0</v>
      </c>
    </row>
    <row r="1577" spans="2:16" x14ac:dyDescent="0.25">
      <c r="D1577" s="3" t="s">
        <v>340</v>
      </c>
      <c r="F1577" s="7">
        <v>50213050</v>
      </c>
      <c r="H1577" s="8">
        <f>24826057.41+34000-1189421.4</f>
        <v>23670636.010000002</v>
      </c>
      <c r="J1577" s="8">
        <f>24826057.4+34000-1189421.4</f>
        <v>23670636</v>
      </c>
      <c r="L1577" s="8">
        <v>23590263</v>
      </c>
      <c r="N1577" s="8">
        <f>+H1577-J1577</f>
        <v>1.0000001639127731E-2</v>
      </c>
      <c r="P1577" s="8">
        <f t="shared" si="10"/>
        <v>80373</v>
      </c>
    </row>
    <row r="1579" spans="2:16" x14ac:dyDescent="0.25">
      <c r="C1579" s="11" t="s">
        <v>341</v>
      </c>
      <c r="H1579" s="17">
        <f>+H1570+H1558</f>
        <v>64748525</v>
      </c>
      <c r="I1579" s="8" t="s">
        <v>0</v>
      </c>
      <c r="J1579" s="17">
        <f>+J1570+J1558</f>
        <v>64748524.990000002</v>
      </c>
      <c r="K1579" s="8" t="s">
        <v>0</v>
      </c>
      <c r="L1579" s="17">
        <f>+L1570+L1558</f>
        <v>62066523.079999998</v>
      </c>
      <c r="M1579" s="8" t="s">
        <v>0</v>
      </c>
      <c r="N1579" s="17">
        <f>+N1570+N1558</f>
        <v>1.0000001639127731E-2</v>
      </c>
      <c r="O1579" s="17"/>
      <c r="P1579" s="17">
        <f>+P1570+P1558</f>
        <v>2682001.91</v>
      </c>
    </row>
    <row r="1581" spans="2:16" x14ac:dyDescent="0.25">
      <c r="B1581" s="11" t="s">
        <v>342</v>
      </c>
      <c r="C1581" s="11"/>
      <c r="D1581" s="11"/>
      <c r="E1581" s="11"/>
      <c r="F1581" s="7">
        <v>8854</v>
      </c>
    </row>
    <row r="1582" spans="2:16" x14ac:dyDescent="0.25">
      <c r="B1582" s="11" t="s">
        <v>160</v>
      </c>
      <c r="C1582" s="11"/>
      <c r="D1582" s="11"/>
      <c r="E1582" s="11"/>
      <c r="F1582" s="7">
        <v>100</v>
      </c>
    </row>
    <row r="1583" spans="2:16" x14ac:dyDescent="0.25">
      <c r="D1583" s="3" t="s">
        <v>9</v>
      </c>
      <c r="F1583" s="7">
        <v>50101020</v>
      </c>
      <c r="H1583" s="17">
        <v>2209202</v>
      </c>
      <c r="J1583" s="17">
        <v>2209202</v>
      </c>
      <c r="L1583" s="17">
        <v>1510310.49</v>
      </c>
      <c r="N1583" s="17">
        <v>0</v>
      </c>
      <c r="P1583" s="17">
        <v>698891.51</v>
      </c>
    </row>
    <row r="1584" spans="2:16" x14ac:dyDescent="0.25">
      <c r="H1584" s="64"/>
      <c r="I1584" s="96"/>
      <c r="J1584" s="64"/>
      <c r="K1584" s="96"/>
      <c r="L1584" s="64"/>
      <c r="M1584" s="96"/>
      <c r="N1584" s="64"/>
      <c r="O1584" s="96"/>
      <c r="P1584" s="64"/>
    </row>
    <row r="1585" spans="2:16" x14ac:dyDescent="0.25">
      <c r="B1585" s="11" t="s">
        <v>166</v>
      </c>
      <c r="C1585" s="11"/>
      <c r="D1585" s="11"/>
      <c r="E1585" s="11"/>
      <c r="F1585" s="7">
        <v>200</v>
      </c>
      <c r="H1585" s="17">
        <f>SUM(H1586:H1589)</f>
        <v>3025554.24</v>
      </c>
      <c r="J1585" s="17">
        <f>SUM(J1586:J1589)</f>
        <v>3025554.24</v>
      </c>
      <c r="L1585" s="17">
        <f>SUM(L1586:L1589)</f>
        <v>2651303.37</v>
      </c>
      <c r="N1585" s="17">
        <f>SUM(N1586:N1589)</f>
        <v>0</v>
      </c>
      <c r="P1585" s="17">
        <f>SUM(P1586:P1589)</f>
        <v>374250.87</v>
      </c>
    </row>
    <row r="1586" spans="2:16" x14ac:dyDescent="0.25">
      <c r="D1586" s="3" t="s">
        <v>20</v>
      </c>
      <c r="F1586" s="7">
        <v>50203090</v>
      </c>
      <c r="H1586" s="8">
        <f>55000-10855.76</f>
        <v>44144.24</v>
      </c>
      <c r="J1586" s="8">
        <v>44144.24</v>
      </c>
      <c r="L1586" s="8">
        <v>44144.24</v>
      </c>
      <c r="N1586" s="8">
        <v>0</v>
      </c>
      <c r="P1586" s="8">
        <f>+J1586-L1586</f>
        <v>0</v>
      </c>
    </row>
    <row r="1587" spans="2:16" x14ac:dyDescent="0.25">
      <c r="D1587" s="3" t="s">
        <v>37</v>
      </c>
      <c r="F1587" s="7">
        <v>50203990</v>
      </c>
      <c r="H1587" s="8">
        <v>2300000</v>
      </c>
      <c r="J1587" s="8">
        <v>2300000</v>
      </c>
      <c r="L1587" s="8">
        <v>2162270</v>
      </c>
      <c r="N1587" s="8">
        <v>0</v>
      </c>
      <c r="P1587" s="8">
        <v>137730</v>
      </c>
    </row>
    <row r="1588" spans="2:16" x14ac:dyDescent="0.25">
      <c r="D1588" s="3" t="s">
        <v>26</v>
      </c>
      <c r="F1588" s="7">
        <v>50212990</v>
      </c>
      <c r="H1588" s="8">
        <f>809160-137730</f>
        <v>671430</v>
      </c>
      <c r="J1588" s="8">
        <v>671430</v>
      </c>
      <c r="L1588" s="8">
        <v>434909.13</v>
      </c>
      <c r="N1588" s="8">
        <v>0</v>
      </c>
      <c r="P1588" s="8">
        <f>+J1588-L1588</f>
        <v>236520.87</v>
      </c>
    </row>
    <row r="1589" spans="2:16" x14ac:dyDescent="0.25">
      <c r="D1589" s="3" t="s">
        <v>340</v>
      </c>
      <c r="F1589" s="7">
        <v>50213050</v>
      </c>
      <c r="H1589" s="8">
        <f>60000-50020</f>
        <v>9980</v>
      </c>
      <c r="J1589" s="8">
        <v>9980</v>
      </c>
      <c r="L1589" s="8">
        <v>9980</v>
      </c>
      <c r="N1589" s="8">
        <v>0</v>
      </c>
      <c r="P1589" s="8">
        <f>+J1589-L1589</f>
        <v>0</v>
      </c>
    </row>
    <row r="1591" spans="2:16" x14ac:dyDescent="0.25">
      <c r="C1591" s="11" t="s">
        <v>343</v>
      </c>
      <c r="H1591" s="17">
        <f>+H1585+H1583</f>
        <v>5234756.24</v>
      </c>
      <c r="I1591" s="8" t="s">
        <v>0</v>
      </c>
      <c r="J1591" s="17">
        <f>+J1585+J1583</f>
        <v>5234756.24</v>
      </c>
      <c r="K1591" s="8" t="s">
        <v>0</v>
      </c>
      <c r="L1591" s="17">
        <f>+L1585+L1583</f>
        <v>4161613.8600000003</v>
      </c>
      <c r="M1591" s="8" t="s">
        <v>0</v>
      </c>
      <c r="N1591" s="17">
        <f>+N1585+N1583</f>
        <v>0</v>
      </c>
      <c r="O1591" s="8" t="s">
        <v>0</v>
      </c>
      <c r="P1591" s="17">
        <f>+P1585+P1583</f>
        <v>1073142.3799999999</v>
      </c>
    </row>
    <row r="1593" spans="2:16" x14ac:dyDescent="0.25">
      <c r="B1593" s="11" t="s">
        <v>131</v>
      </c>
    </row>
    <row r="1594" spans="2:16" x14ac:dyDescent="0.25">
      <c r="B1594" s="11" t="s">
        <v>344</v>
      </c>
    </row>
    <row r="1595" spans="2:16" x14ac:dyDescent="0.25">
      <c r="B1595" s="11" t="s">
        <v>345</v>
      </c>
    </row>
    <row r="1596" spans="2:16" x14ac:dyDescent="0.25">
      <c r="B1596" s="11" t="s">
        <v>269</v>
      </c>
      <c r="F1596" s="7">
        <v>200</v>
      </c>
    </row>
    <row r="1597" spans="2:16" x14ac:dyDescent="0.25">
      <c r="B1597" s="11"/>
      <c r="C1597" s="11" t="s">
        <v>346</v>
      </c>
      <c r="F1597" s="7">
        <v>50213030</v>
      </c>
    </row>
    <row r="1598" spans="2:16" x14ac:dyDescent="0.25">
      <c r="D1598" s="3" t="s">
        <v>132</v>
      </c>
      <c r="F1598" s="7">
        <v>50213030</v>
      </c>
      <c r="H1598" s="17">
        <v>5000000</v>
      </c>
      <c r="J1598" s="17">
        <v>5000000</v>
      </c>
      <c r="L1598" s="17">
        <v>4970817.3</v>
      </c>
      <c r="N1598" s="17">
        <v>0</v>
      </c>
      <c r="P1598" s="17">
        <v>29182.7</v>
      </c>
    </row>
    <row r="1600" spans="2:16" x14ac:dyDescent="0.25">
      <c r="B1600" s="11" t="s">
        <v>287</v>
      </c>
      <c r="C1600" s="11"/>
      <c r="F1600" s="7">
        <v>300</v>
      </c>
      <c r="H1600" s="17">
        <f>+H1602+H1603+H1604</f>
        <v>57530184</v>
      </c>
      <c r="J1600" s="17">
        <f>+J1602+J1603+J1604</f>
        <v>57501970</v>
      </c>
      <c r="L1600" s="17">
        <f>+L1602+L1603+L1604</f>
        <v>55873427.469999991</v>
      </c>
      <c r="N1600" s="17">
        <f>+N1602+N1603+N1604</f>
        <v>28214</v>
      </c>
      <c r="P1600" s="17">
        <f>+P1602+P1603+P1604</f>
        <v>1628542.5300000089</v>
      </c>
    </row>
    <row r="1601" spans="2:16" x14ac:dyDescent="0.25">
      <c r="B1601" s="11"/>
      <c r="C1601" s="11" t="s">
        <v>214</v>
      </c>
      <c r="F1601" s="7">
        <v>10703010</v>
      </c>
    </row>
    <row r="1602" spans="2:16" x14ac:dyDescent="0.25">
      <c r="B1602" s="11"/>
      <c r="C1602" s="11"/>
      <c r="D1602" s="3" t="s">
        <v>347</v>
      </c>
      <c r="H1602" s="8">
        <v>28917741.000000004</v>
      </c>
      <c r="J1602" s="8">
        <v>28917741.000000004</v>
      </c>
      <c r="L1602" s="8">
        <v>27863381.57</v>
      </c>
      <c r="N1602" s="8">
        <v>0</v>
      </c>
      <c r="P1602" s="8">
        <v>1054359.43</v>
      </c>
    </row>
    <row r="1603" spans="2:16" x14ac:dyDescent="0.25">
      <c r="B1603" s="11"/>
      <c r="C1603" s="11"/>
      <c r="D1603" s="3" t="s">
        <v>348</v>
      </c>
      <c r="H1603" s="8">
        <v>28584229</v>
      </c>
      <c r="J1603" s="8">
        <v>28584229</v>
      </c>
      <c r="L1603" s="8">
        <v>28010045.899999991</v>
      </c>
      <c r="N1603" s="8">
        <v>0</v>
      </c>
      <c r="P1603" s="8">
        <f>+J1603-L1603</f>
        <v>574183.10000000894</v>
      </c>
    </row>
    <row r="1604" spans="2:16" x14ac:dyDescent="0.25">
      <c r="D1604" s="3" t="s">
        <v>812</v>
      </c>
      <c r="H1604" s="8">
        <v>28214</v>
      </c>
      <c r="J1604" s="8">
        <v>0</v>
      </c>
      <c r="L1604" s="8">
        <v>0</v>
      </c>
      <c r="N1604" s="8">
        <v>28214</v>
      </c>
      <c r="P1604" s="8">
        <v>0</v>
      </c>
    </row>
    <row r="1606" spans="2:16" x14ac:dyDescent="0.25">
      <c r="C1606" s="11" t="s">
        <v>349</v>
      </c>
      <c r="H1606" s="17">
        <f>+H1600+H1598</f>
        <v>62530184</v>
      </c>
      <c r="J1606" s="17">
        <f>+J1600+J1598</f>
        <v>62501970</v>
      </c>
      <c r="L1606" s="17">
        <f>+L1600+L1598</f>
        <v>60844244.769999988</v>
      </c>
      <c r="N1606" s="17">
        <f>+N1600+N1598</f>
        <v>28214</v>
      </c>
      <c r="P1606" s="17">
        <f>+P1600+P1598</f>
        <v>1657725.2300000088</v>
      </c>
    </row>
    <row r="1607" spans="2:16" x14ac:dyDescent="0.25">
      <c r="C1607" s="11"/>
    </row>
    <row r="1608" spans="2:16" x14ac:dyDescent="0.25">
      <c r="C1608" s="11" t="s">
        <v>350</v>
      </c>
      <c r="F1608" s="7">
        <v>9000</v>
      </c>
      <c r="H1608" s="17">
        <f>SUM(H1609:H1612)</f>
        <v>217299339.83000001</v>
      </c>
      <c r="J1608" s="17">
        <f>SUM(J1609:J1612)</f>
        <v>217299339.83000001</v>
      </c>
      <c r="L1608" s="17">
        <f>SUM(L1609:L1612)</f>
        <v>170717857.40000001</v>
      </c>
      <c r="N1608" s="17">
        <f>SUM(N1609:N1612)</f>
        <v>0</v>
      </c>
      <c r="P1608" s="17">
        <f>SUM(P1609:P1612)</f>
        <v>46581482.430000007</v>
      </c>
    </row>
    <row r="1609" spans="2:16" x14ac:dyDescent="0.25">
      <c r="D1609" s="3" t="s">
        <v>7</v>
      </c>
      <c r="H1609" s="8">
        <f>+H1623+H1793</f>
        <v>21564937.060000002</v>
      </c>
      <c r="J1609" s="8">
        <f>+J1623+J1793</f>
        <v>21564937.060000002</v>
      </c>
      <c r="L1609" s="8">
        <f>+L1623+L1793</f>
        <v>18955453.579999998</v>
      </c>
      <c r="N1609" s="8">
        <f>+N1623+N1793</f>
        <v>0</v>
      </c>
      <c r="P1609" s="8">
        <f>+P1623+P1793</f>
        <v>2609483.4800000023</v>
      </c>
    </row>
    <row r="1610" spans="2:16" x14ac:dyDescent="0.25">
      <c r="D1610" s="3" t="s">
        <v>17</v>
      </c>
      <c r="H1610" s="8">
        <f>+H1790-H1758+H1803</f>
        <v>51797994.5</v>
      </c>
      <c r="J1610" s="8">
        <f>+J1790-J1758+J1803</f>
        <v>51797994.5</v>
      </c>
      <c r="L1610" s="8">
        <f>+L1790-L1758+L1803</f>
        <v>51797994.5</v>
      </c>
      <c r="N1610" s="8">
        <f>+N1790-N1758+N1803</f>
        <v>0</v>
      </c>
      <c r="P1610" s="8">
        <f>+P1790-P1758+P1803</f>
        <v>0</v>
      </c>
    </row>
    <row r="1611" spans="2:16" x14ac:dyDescent="0.25">
      <c r="D1611" s="3" t="s">
        <v>155</v>
      </c>
      <c r="H1611" s="8">
        <f>+H1616</f>
        <v>112469583</v>
      </c>
      <c r="J1611" s="8">
        <f>+J1616</f>
        <v>112469583</v>
      </c>
      <c r="L1611" s="8">
        <f>+L1616</f>
        <v>76867087.049999997</v>
      </c>
      <c r="N1611" s="8">
        <f>+N1616</f>
        <v>0</v>
      </c>
      <c r="P1611" s="8">
        <f>+P1616</f>
        <v>35602495.950000003</v>
      </c>
    </row>
    <row r="1612" spans="2:16" x14ac:dyDescent="0.25">
      <c r="D1612" s="3" t="s">
        <v>52</v>
      </c>
      <c r="H1612" s="8">
        <f>+H1758</f>
        <v>31466825.27</v>
      </c>
      <c r="J1612" s="8">
        <f>+J1758</f>
        <v>31466825.27</v>
      </c>
      <c r="L1612" s="8">
        <f>+L1758</f>
        <v>23097322.27</v>
      </c>
      <c r="N1612" s="8">
        <f>+N1758</f>
        <v>0</v>
      </c>
      <c r="P1612" s="8">
        <f>+P1758</f>
        <v>8369503</v>
      </c>
    </row>
    <row r="1614" spans="2:16" x14ac:dyDescent="0.25">
      <c r="B1614" s="3" t="s">
        <v>351</v>
      </c>
      <c r="F1614" s="7" t="s">
        <v>352</v>
      </c>
    </row>
    <row r="1615" spans="2:16" x14ac:dyDescent="0.25">
      <c r="B1615" s="11" t="s">
        <v>353</v>
      </c>
    </row>
    <row r="1616" spans="2:16" x14ac:dyDescent="0.25">
      <c r="B1616" s="11" t="s">
        <v>269</v>
      </c>
      <c r="F1616" s="7">
        <v>200</v>
      </c>
      <c r="H1616" s="17">
        <f>+H1617+H1618</f>
        <v>112469583</v>
      </c>
      <c r="J1616" s="17">
        <f>+J1617+J1618</f>
        <v>112469583</v>
      </c>
      <c r="L1616" s="17">
        <f>+L1617+L1618</f>
        <v>76867087.049999997</v>
      </c>
      <c r="N1616" s="17">
        <f>+N1617+N1618</f>
        <v>0</v>
      </c>
      <c r="P1616" s="17">
        <f>+P1617+P1618</f>
        <v>35602495.950000003</v>
      </c>
    </row>
    <row r="1617" spans="2:16" x14ac:dyDescent="0.25">
      <c r="D1617" s="3" t="s">
        <v>133</v>
      </c>
      <c r="F1617" s="7">
        <v>20102040</v>
      </c>
      <c r="H1617" s="8">
        <v>88795653</v>
      </c>
      <c r="J1617" s="8">
        <v>88795653</v>
      </c>
      <c r="L1617" s="8">
        <v>62564883.240000002</v>
      </c>
      <c r="N1617" s="8">
        <v>0</v>
      </c>
      <c r="P1617" s="8">
        <v>26230769.760000002</v>
      </c>
    </row>
    <row r="1618" spans="2:16" x14ac:dyDescent="0.25">
      <c r="D1618" s="3" t="s">
        <v>34</v>
      </c>
      <c r="F1618" s="7">
        <v>50301020</v>
      </c>
      <c r="H1618" s="8">
        <v>23673930</v>
      </c>
      <c r="J1618" s="8">
        <v>23673930</v>
      </c>
      <c r="L1618" s="8">
        <v>14302203.810000001</v>
      </c>
      <c r="N1618" s="8">
        <v>0</v>
      </c>
      <c r="P1618" s="8">
        <v>9371726.1899999995</v>
      </c>
    </row>
    <row r="1620" spans="2:16" x14ac:dyDescent="0.25">
      <c r="C1620" s="11" t="s">
        <v>354</v>
      </c>
      <c r="H1620" s="17">
        <f>+H1616</f>
        <v>112469583</v>
      </c>
      <c r="J1620" s="17">
        <f>+J1616</f>
        <v>112469583</v>
      </c>
      <c r="L1620" s="17">
        <f>+L1616</f>
        <v>76867087.049999997</v>
      </c>
      <c r="N1620" s="17">
        <f>+N1616</f>
        <v>0</v>
      </c>
      <c r="P1620" s="17">
        <f>+P1616</f>
        <v>35602495.950000003</v>
      </c>
    </row>
    <row r="1621" spans="2:16" x14ac:dyDescent="0.25">
      <c r="C1621" s="11"/>
    </row>
    <row r="1622" spans="2:16" x14ac:dyDescent="0.25">
      <c r="B1622" s="11" t="s">
        <v>355</v>
      </c>
    </row>
    <row r="1623" spans="2:16" x14ac:dyDescent="0.25">
      <c r="B1623" s="11" t="s">
        <v>160</v>
      </c>
      <c r="F1623" s="7">
        <v>100</v>
      </c>
      <c r="H1623" s="17">
        <f>SUM(H1624:H1630)</f>
        <v>92457.47</v>
      </c>
      <c r="J1623" s="17">
        <f>SUM(J1624:J1630)</f>
        <v>92457.47</v>
      </c>
      <c r="L1623" s="17">
        <f>SUM(L1624:L1630)</f>
        <v>92457.47</v>
      </c>
      <c r="N1623" s="17">
        <f>SUM(N1624:N1630)</f>
        <v>0</v>
      </c>
      <c r="P1623" s="17">
        <f>SUM(P1624:P1630)</f>
        <v>0</v>
      </c>
    </row>
    <row r="1624" spans="2:16" x14ac:dyDescent="0.25">
      <c r="D1624" s="3" t="s">
        <v>8</v>
      </c>
      <c r="F1624" s="7">
        <v>50101010</v>
      </c>
      <c r="H1624" s="8">
        <v>35654.71</v>
      </c>
      <c r="J1624" s="8">
        <v>35654.71</v>
      </c>
      <c r="L1624" s="8">
        <v>35654.71</v>
      </c>
      <c r="N1624" s="8">
        <v>0</v>
      </c>
      <c r="P1624" s="8">
        <v>0</v>
      </c>
    </row>
    <row r="1625" spans="2:16" x14ac:dyDescent="0.25">
      <c r="D1625" s="3" t="s">
        <v>162</v>
      </c>
      <c r="F1625" s="7">
        <v>50102010</v>
      </c>
      <c r="H1625" s="8">
        <v>774.19</v>
      </c>
      <c r="J1625" s="8">
        <v>774.19</v>
      </c>
      <c r="L1625" s="8">
        <v>774.19</v>
      </c>
      <c r="N1625" s="8">
        <v>0</v>
      </c>
      <c r="P1625" s="8">
        <v>0</v>
      </c>
    </row>
    <row r="1626" spans="2:16" x14ac:dyDescent="0.25">
      <c r="D1626" s="3" t="s">
        <v>776</v>
      </c>
      <c r="F1626" s="7">
        <v>50102020</v>
      </c>
      <c r="H1626" s="8">
        <v>51000</v>
      </c>
      <c r="J1626" s="8">
        <v>51000</v>
      </c>
      <c r="L1626" s="8">
        <v>51000</v>
      </c>
      <c r="N1626" s="8">
        <v>0</v>
      </c>
      <c r="P1626" s="8">
        <v>0</v>
      </c>
    </row>
    <row r="1627" spans="2:16" x14ac:dyDescent="0.25">
      <c r="D1627" s="3" t="s">
        <v>164</v>
      </c>
      <c r="F1627" s="7">
        <v>50103010</v>
      </c>
      <c r="H1627" s="8">
        <v>4278.57</v>
      </c>
      <c r="J1627" s="8">
        <v>4278.57</v>
      </c>
      <c r="L1627" s="8">
        <v>4278.57</v>
      </c>
      <c r="N1627" s="8">
        <v>0</v>
      </c>
      <c r="P1627" s="8">
        <v>0</v>
      </c>
    </row>
    <row r="1628" spans="2:16" x14ac:dyDescent="0.25">
      <c r="D1628" s="3" t="s">
        <v>14</v>
      </c>
      <c r="F1628" s="7">
        <v>50103020</v>
      </c>
      <c r="H1628" s="8">
        <v>100</v>
      </c>
      <c r="J1628" s="8">
        <v>100</v>
      </c>
      <c r="L1628" s="8">
        <v>100</v>
      </c>
      <c r="N1628" s="8">
        <v>0</v>
      </c>
      <c r="P1628" s="8">
        <v>0</v>
      </c>
    </row>
    <row r="1629" spans="2:16" x14ac:dyDescent="0.25">
      <c r="D1629" s="3" t="s">
        <v>15</v>
      </c>
      <c r="F1629" s="7">
        <v>50103030</v>
      </c>
      <c r="H1629" s="8">
        <v>550</v>
      </c>
      <c r="J1629" s="8">
        <v>550</v>
      </c>
      <c r="L1629" s="8">
        <v>550</v>
      </c>
      <c r="N1629" s="8">
        <v>0</v>
      </c>
      <c r="P1629" s="8">
        <v>0</v>
      </c>
    </row>
    <row r="1630" spans="2:16" x14ac:dyDescent="0.25">
      <c r="D1630" s="3" t="s">
        <v>165</v>
      </c>
      <c r="F1630" s="7">
        <v>50103040</v>
      </c>
      <c r="H1630" s="8">
        <v>100</v>
      </c>
      <c r="J1630" s="8">
        <v>100</v>
      </c>
      <c r="L1630" s="8">
        <v>100</v>
      </c>
      <c r="N1630" s="8">
        <v>0</v>
      </c>
      <c r="P1630" s="8">
        <v>0</v>
      </c>
    </row>
    <row r="1632" spans="2:16" x14ac:dyDescent="0.25">
      <c r="C1632" s="11" t="s">
        <v>356</v>
      </c>
      <c r="H1632" s="17">
        <f>+H1623</f>
        <v>92457.47</v>
      </c>
      <c r="I1632" s="8" t="s">
        <v>0</v>
      </c>
      <c r="J1632" s="17">
        <f>+J1623</f>
        <v>92457.47</v>
      </c>
      <c r="K1632" s="8" t="s">
        <v>0</v>
      </c>
      <c r="L1632" s="17">
        <f>+L1623</f>
        <v>92457.47</v>
      </c>
      <c r="M1632" s="8" t="s">
        <v>0</v>
      </c>
      <c r="N1632" s="17">
        <f>+N1623</f>
        <v>0</v>
      </c>
      <c r="O1632" s="8" t="s">
        <v>0</v>
      </c>
      <c r="P1632" s="17">
        <f>+P1623</f>
        <v>0</v>
      </c>
    </row>
    <row r="1634" spans="2:17" x14ac:dyDescent="0.25">
      <c r="B1634" s="11" t="s">
        <v>357</v>
      </c>
      <c r="F1634" s="7">
        <v>9940</v>
      </c>
    </row>
    <row r="1635" spans="2:17" x14ac:dyDescent="0.25">
      <c r="B1635" s="11" t="s">
        <v>358</v>
      </c>
      <c r="H1635" s="17">
        <f>SUM(H1638:H1658,H1661,H1667,H1679,H1683,H1694,H1705,H1713,H1724,H1729,H1738,H1748,H1758,H1674,H1677)</f>
        <v>60752262.719999999</v>
      </c>
      <c r="J1635" s="17">
        <f>SUM(J1638:J1658,J1661,J1667,J1679,J1683,J1694,J1705,J1713,J1724,J1729,J1738,J1748,J1758,J1674,J1677)</f>
        <v>60752262.719999999</v>
      </c>
      <c r="L1635" s="17">
        <f>SUM(L1638:L1658,L1661,L1667,L1679,L1683,L1694,L1705,L1713,L1724,L1729,L1738,L1748,L1758,L1674,L1677)</f>
        <v>52382759.719999999</v>
      </c>
      <c r="N1635" s="17">
        <f>SUM(N1638:N1658,N1661,N1667,N1679,N1683,N1694,N1705,N1713,N1724,N1729,N1738,N1748,N1758,N1674,N1677)</f>
        <v>0</v>
      </c>
      <c r="P1635" s="17">
        <f>SUM(P1638:P1658,P1661,P1667,P1679,P1683,P1694,P1705,P1713,P1724,P1729,P1738,P1748,P1758,P1674,P1677)</f>
        <v>8369503</v>
      </c>
    </row>
    <row r="1636" spans="2:17" x14ac:dyDescent="0.25">
      <c r="D1636" s="11" t="s">
        <v>359</v>
      </c>
    </row>
    <row r="1637" spans="2:17" x14ac:dyDescent="0.25">
      <c r="B1637" s="11" t="s">
        <v>360</v>
      </c>
      <c r="F1637" s="7">
        <v>200</v>
      </c>
    </row>
    <row r="1638" spans="2:17" x14ac:dyDescent="0.25">
      <c r="D1638" s="3" t="s">
        <v>760</v>
      </c>
      <c r="F1638" s="7">
        <v>50201010</v>
      </c>
      <c r="H1638" s="8">
        <v>85437.45</v>
      </c>
      <c r="J1638" s="8">
        <v>85437.45</v>
      </c>
      <c r="L1638" s="8">
        <v>85437.45</v>
      </c>
      <c r="N1638" s="8">
        <v>0</v>
      </c>
      <c r="P1638" s="8">
        <f>+J1638-L1638</f>
        <v>0</v>
      </c>
      <c r="Q1638" s="93">
        <f>+P1638</f>
        <v>0</v>
      </c>
    </row>
    <row r="1639" spans="2:17" x14ac:dyDescent="0.25">
      <c r="D1639" s="3" t="s">
        <v>669</v>
      </c>
      <c r="F1639" s="3"/>
      <c r="H1639" s="3"/>
      <c r="I1639" s="3"/>
      <c r="J1639" s="3"/>
      <c r="K1639" s="3"/>
      <c r="L1639" s="3"/>
      <c r="M1639" s="3"/>
      <c r="N1639" s="3"/>
      <c r="O1639" s="3"/>
      <c r="P1639" s="3"/>
    </row>
    <row r="1640" spans="2:17" x14ac:dyDescent="0.25">
      <c r="D1640" s="21" t="s">
        <v>670</v>
      </c>
    </row>
    <row r="1641" spans="2:17" x14ac:dyDescent="0.25">
      <c r="E1641" s="21" t="s">
        <v>671</v>
      </c>
      <c r="F1641" s="7">
        <v>50203050</v>
      </c>
      <c r="H1641" s="8">
        <v>500000</v>
      </c>
      <c r="J1641" s="8">
        <v>500000</v>
      </c>
      <c r="L1641" s="8">
        <v>500000</v>
      </c>
      <c r="N1641" s="8">
        <v>0</v>
      </c>
      <c r="P1641" s="8">
        <f t="shared" ref="P1641:P1658" si="11">+J1641-L1641</f>
        <v>0</v>
      </c>
      <c r="Q1641" s="93">
        <f t="shared" ref="Q1641:Q1642" si="12">+P1641</f>
        <v>0</v>
      </c>
    </row>
    <row r="1642" spans="2:17" x14ac:dyDescent="0.25">
      <c r="D1642" s="3" t="s">
        <v>672</v>
      </c>
      <c r="F1642" s="7">
        <v>50203050</v>
      </c>
      <c r="H1642" s="8">
        <v>500000</v>
      </c>
      <c r="J1642" s="8">
        <v>500000</v>
      </c>
      <c r="L1642" s="8">
        <v>500000</v>
      </c>
      <c r="N1642" s="8">
        <v>0</v>
      </c>
      <c r="P1642" s="8">
        <f t="shared" si="11"/>
        <v>0</v>
      </c>
      <c r="Q1642" s="93">
        <f t="shared" si="12"/>
        <v>0</v>
      </c>
    </row>
    <row r="1643" spans="2:17" x14ac:dyDescent="0.25">
      <c r="E1643" s="3" t="s">
        <v>673</v>
      </c>
      <c r="P1643" s="8">
        <f t="shared" si="11"/>
        <v>0</v>
      </c>
    </row>
    <row r="1644" spans="2:17" x14ac:dyDescent="0.25">
      <c r="D1644" s="3" t="s">
        <v>674</v>
      </c>
      <c r="H1644" s="8">
        <v>1000000</v>
      </c>
      <c r="J1644" s="8">
        <v>1000000</v>
      </c>
      <c r="L1644" s="8">
        <v>1000000</v>
      </c>
      <c r="N1644" s="8">
        <v>0</v>
      </c>
      <c r="P1644" s="8">
        <f t="shared" si="11"/>
        <v>0</v>
      </c>
      <c r="Q1644" s="93">
        <f>+P1644</f>
        <v>0</v>
      </c>
    </row>
    <row r="1645" spans="2:17" x14ac:dyDescent="0.25">
      <c r="E1645" s="3" t="s">
        <v>675</v>
      </c>
      <c r="P1645" s="8">
        <f t="shared" si="11"/>
        <v>0</v>
      </c>
    </row>
    <row r="1646" spans="2:17" x14ac:dyDescent="0.25">
      <c r="D1646" s="3" t="s">
        <v>134</v>
      </c>
      <c r="F1646" s="7">
        <v>50203990</v>
      </c>
      <c r="H1646" s="8">
        <v>500000</v>
      </c>
      <c r="J1646" s="8">
        <v>500000</v>
      </c>
      <c r="L1646" s="8">
        <v>500000</v>
      </c>
      <c r="N1646" s="8">
        <v>0</v>
      </c>
      <c r="P1646" s="8">
        <f t="shared" si="11"/>
        <v>0</v>
      </c>
      <c r="Q1646" s="93">
        <f t="shared" ref="Q1646:Q1651" si="13">+P1646</f>
        <v>0</v>
      </c>
    </row>
    <row r="1647" spans="2:17" x14ac:dyDescent="0.25">
      <c r="D1647" s="3" t="s">
        <v>676</v>
      </c>
      <c r="F1647" s="7">
        <v>50203990</v>
      </c>
      <c r="H1647" s="8">
        <v>500000</v>
      </c>
      <c r="J1647" s="8">
        <v>500000</v>
      </c>
      <c r="L1647" s="8">
        <v>500000</v>
      </c>
      <c r="N1647" s="8">
        <v>0</v>
      </c>
      <c r="P1647" s="8">
        <f t="shared" si="11"/>
        <v>0</v>
      </c>
      <c r="Q1647" s="93">
        <f t="shared" si="13"/>
        <v>0</v>
      </c>
    </row>
    <row r="1648" spans="2:17" x14ac:dyDescent="0.25">
      <c r="D1648" s="3" t="s">
        <v>677</v>
      </c>
      <c r="F1648" s="7">
        <v>50213050</v>
      </c>
      <c r="H1648" s="8">
        <v>500000</v>
      </c>
      <c r="J1648" s="8">
        <v>500000</v>
      </c>
      <c r="L1648" s="8">
        <v>500000</v>
      </c>
      <c r="N1648" s="8">
        <v>0</v>
      </c>
      <c r="P1648" s="8">
        <f t="shared" si="11"/>
        <v>0</v>
      </c>
      <c r="Q1648" s="93">
        <f t="shared" si="13"/>
        <v>0</v>
      </c>
    </row>
    <row r="1649" spans="3:17" x14ac:dyDescent="0.25">
      <c r="D1649" s="3" t="s">
        <v>813</v>
      </c>
      <c r="F1649" s="7">
        <v>50213050</v>
      </c>
      <c r="H1649" s="8">
        <v>4000000</v>
      </c>
      <c r="J1649" s="8">
        <v>4000000</v>
      </c>
      <c r="L1649" s="8">
        <v>4000000</v>
      </c>
      <c r="N1649" s="8">
        <v>0</v>
      </c>
      <c r="P1649" s="8">
        <f t="shared" si="11"/>
        <v>0</v>
      </c>
      <c r="Q1649" s="93">
        <f t="shared" si="13"/>
        <v>0</v>
      </c>
    </row>
    <row r="1650" spans="3:17" x14ac:dyDescent="0.25">
      <c r="D1650" s="3" t="s">
        <v>135</v>
      </c>
      <c r="F1650" s="7">
        <v>50216030</v>
      </c>
      <c r="H1650" s="8">
        <v>400000</v>
      </c>
      <c r="J1650" s="8">
        <v>400000</v>
      </c>
      <c r="L1650" s="8">
        <v>400000</v>
      </c>
      <c r="N1650" s="8">
        <v>0</v>
      </c>
      <c r="P1650" s="8">
        <f t="shared" si="11"/>
        <v>0</v>
      </c>
      <c r="Q1650" s="93">
        <f t="shared" si="13"/>
        <v>0</v>
      </c>
    </row>
    <row r="1651" spans="3:17" x14ac:dyDescent="0.25">
      <c r="D1651" s="3" t="s">
        <v>678</v>
      </c>
      <c r="F1651" s="7">
        <v>50299020</v>
      </c>
      <c r="H1651" s="8">
        <v>500000</v>
      </c>
      <c r="J1651" s="8">
        <v>500000</v>
      </c>
      <c r="L1651" s="8">
        <v>500000</v>
      </c>
      <c r="N1651" s="8">
        <v>0</v>
      </c>
      <c r="P1651" s="8">
        <f t="shared" si="11"/>
        <v>0</v>
      </c>
      <c r="Q1651" s="93">
        <f t="shared" si="13"/>
        <v>0</v>
      </c>
    </row>
    <row r="1652" spans="3:17" x14ac:dyDescent="0.25">
      <c r="D1652" s="3" t="s">
        <v>814</v>
      </c>
      <c r="F1652" s="7">
        <v>50299020</v>
      </c>
      <c r="H1652" s="8">
        <v>500000</v>
      </c>
      <c r="J1652" s="8">
        <v>500000</v>
      </c>
      <c r="L1652" s="8">
        <v>500000</v>
      </c>
      <c r="N1652" s="8">
        <v>0</v>
      </c>
      <c r="P1652" s="8">
        <f t="shared" si="11"/>
        <v>0</v>
      </c>
    </row>
    <row r="1653" spans="3:17" x14ac:dyDescent="0.25">
      <c r="E1653" s="3" t="s">
        <v>679</v>
      </c>
      <c r="P1653" s="8">
        <f t="shared" si="11"/>
        <v>0</v>
      </c>
    </row>
    <row r="1654" spans="3:17" x14ac:dyDescent="0.25">
      <c r="D1654" s="3" t="s">
        <v>361</v>
      </c>
      <c r="F1654" s="7">
        <v>50299080</v>
      </c>
      <c r="H1654" s="8">
        <v>2300000</v>
      </c>
      <c r="J1654" s="8">
        <v>2300000</v>
      </c>
      <c r="L1654" s="8">
        <v>2300000</v>
      </c>
      <c r="N1654" s="8">
        <v>0</v>
      </c>
      <c r="P1654" s="8">
        <f t="shared" si="11"/>
        <v>0</v>
      </c>
    </row>
    <row r="1655" spans="3:17" x14ac:dyDescent="0.25">
      <c r="D1655" s="3" t="s">
        <v>362</v>
      </c>
      <c r="F1655" s="7">
        <v>50299080</v>
      </c>
      <c r="H1655" s="8">
        <v>500000</v>
      </c>
      <c r="J1655" s="8">
        <v>500000</v>
      </c>
      <c r="L1655" s="8">
        <v>500000</v>
      </c>
      <c r="N1655" s="8">
        <v>0</v>
      </c>
      <c r="P1655" s="8">
        <f t="shared" si="11"/>
        <v>0</v>
      </c>
    </row>
    <row r="1656" spans="3:17" x14ac:dyDescent="0.25">
      <c r="E1656" s="3" t="s">
        <v>136</v>
      </c>
      <c r="P1656" s="8">
        <f t="shared" si="11"/>
        <v>0</v>
      </c>
    </row>
    <row r="1657" spans="3:17" x14ac:dyDescent="0.25">
      <c r="C1657" s="11" t="s">
        <v>363</v>
      </c>
      <c r="P1657" s="8">
        <f t="shared" si="11"/>
        <v>0</v>
      </c>
    </row>
    <row r="1658" spans="3:17" x14ac:dyDescent="0.25">
      <c r="E1658" s="3" t="s">
        <v>680</v>
      </c>
      <c r="F1658" s="7">
        <v>50213030</v>
      </c>
      <c r="H1658" s="8">
        <v>700000</v>
      </c>
      <c r="J1658" s="8">
        <v>700000</v>
      </c>
      <c r="L1658" s="8">
        <v>700000</v>
      </c>
      <c r="N1658" s="8">
        <v>0</v>
      </c>
      <c r="P1658" s="8">
        <f t="shared" si="11"/>
        <v>0</v>
      </c>
      <c r="Q1658" s="93">
        <f>+P1658</f>
        <v>0</v>
      </c>
    </row>
    <row r="1659" spans="3:17" x14ac:dyDescent="0.25">
      <c r="C1659" s="11" t="s">
        <v>816</v>
      </c>
    </row>
    <row r="1660" spans="3:17" x14ac:dyDescent="0.25">
      <c r="C1660" s="11" t="s">
        <v>817</v>
      </c>
      <c r="H1660" s="3"/>
      <c r="I1660" s="3"/>
      <c r="J1660" s="3"/>
      <c r="K1660" s="3"/>
      <c r="L1660" s="3"/>
      <c r="M1660" s="3"/>
      <c r="N1660" s="3"/>
      <c r="O1660" s="3"/>
      <c r="P1660" s="3"/>
    </row>
    <row r="1661" spans="3:17" x14ac:dyDescent="0.25">
      <c r="C1661" s="11" t="s">
        <v>815</v>
      </c>
      <c r="H1661" s="17">
        <f>SUM(H1662:H1666)</f>
        <v>5470000</v>
      </c>
      <c r="J1661" s="17">
        <f>SUM(J1662:J1666)</f>
        <v>5470000</v>
      </c>
      <c r="L1661" s="17">
        <f>SUM(L1662:L1666)</f>
        <v>5470000</v>
      </c>
      <c r="N1661" s="17">
        <f>SUM(N1662:N1666)</f>
        <v>0</v>
      </c>
      <c r="P1661" s="17">
        <f>SUM(P1662:P1666)</f>
        <v>0</v>
      </c>
      <c r="Q1661" s="93">
        <f>+P1661</f>
        <v>0</v>
      </c>
    </row>
    <row r="1662" spans="3:17" x14ac:dyDescent="0.25">
      <c r="D1662" s="3" t="s">
        <v>760</v>
      </c>
      <c r="F1662" s="7">
        <v>50202010</v>
      </c>
      <c r="H1662" s="8">
        <v>1100000</v>
      </c>
      <c r="J1662" s="8">
        <v>1100000</v>
      </c>
      <c r="L1662" s="8">
        <v>1100000</v>
      </c>
      <c r="N1662" s="8">
        <v>0</v>
      </c>
      <c r="P1662" s="8">
        <f>+J1662-L1662</f>
        <v>0</v>
      </c>
    </row>
    <row r="1663" spans="3:17" x14ac:dyDescent="0.25">
      <c r="D1663" s="3" t="s">
        <v>140</v>
      </c>
      <c r="F1663" s="7">
        <v>50202010</v>
      </c>
      <c r="H1663" s="8">
        <v>2500000</v>
      </c>
      <c r="J1663" s="8">
        <v>2500000</v>
      </c>
      <c r="L1663" s="8">
        <v>2500000</v>
      </c>
      <c r="N1663" s="8">
        <v>0</v>
      </c>
      <c r="P1663" s="8">
        <f t="shared" ref="P1663:P1674" si="14">+J1663-L1663</f>
        <v>0</v>
      </c>
    </row>
    <row r="1664" spans="3:17" x14ac:dyDescent="0.25">
      <c r="D1664" s="3" t="s">
        <v>681</v>
      </c>
      <c r="F1664" s="7">
        <v>50202010</v>
      </c>
      <c r="H1664" s="8">
        <v>570000</v>
      </c>
      <c r="J1664" s="8">
        <v>570000</v>
      </c>
      <c r="L1664" s="8">
        <v>570000</v>
      </c>
      <c r="N1664" s="8">
        <v>0</v>
      </c>
      <c r="P1664" s="8">
        <f t="shared" si="14"/>
        <v>0</v>
      </c>
    </row>
    <row r="1665" spans="3:17" x14ac:dyDescent="0.25">
      <c r="D1665" s="3" t="s">
        <v>98</v>
      </c>
      <c r="F1665" s="7">
        <v>50202010</v>
      </c>
      <c r="H1665" s="8">
        <v>1000000</v>
      </c>
      <c r="J1665" s="8">
        <v>1000000</v>
      </c>
      <c r="L1665" s="8">
        <v>1000000</v>
      </c>
      <c r="N1665" s="8">
        <v>0</v>
      </c>
      <c r="P1665" s="8">
        <f t="shared" si="14"/>
        <v>0</v>
      </c>
    </row>
    <row r="1666" spans="3:17" x14ac:dyDescent="0.25">
      <c r="D1666" s="3" t="s">
        <v>769</v>
      </c>
      <c r="F1666" s="7">
        <v>50202010</v>
      </c>
      <c r="H1666" s="8">
        <v>300000</v>
      </c>
      <c r="J1666" s="8">
        <v>300000</v>
      </c>
      <c r="L1666" s="8">
        <v>300000</v>
      </c>
      <c r="N1666" s="8">
        <v>0</v>
      </c>
      <c r="P1666" s="8">
        <f t="shared" si="14"/>
        <v>0</v>
      </c>
    </row>
    <row r="1667" spans="3:17" x14ac:dyDescent="0.25">
      <c r="C1667" s="11" t="s">
        <v>818</v>
      </c>
      <c r="H1667" s="17">
        <f>SUM(H1669:H1672)</f>
        <v>1000000</v>
      </c>
      <c r="J1667" s="17">
        <f>SUM(J1669:J1672)</f>
        <v>1000000</v>
      </c>
      <c r="L1667" s="17">
        <f>SUM(L1669:L1672)</f>
        <v>1000000</v>
      </c>
      <c r="N1667" s="17">
        <f>SUM(N1669:N1672)</f>
        <v>0</v>
      </c>
      <c r="P1667" s="17">
        <f>SUM(P1669:P1672)</f>
        <v>0</v>
      </c>
      <c r="Q1667" s="93">
        <f>+P1667</f>
        <v>0</v>
      </c>
    </row>
    <row r="1668" spans="3:17" x14ac:dyDescent="0.25">
      <c r="C1668" s="11" t="s">
        <v>819</v>
      </c>
      <c r="H1668" s="64"/>
      <c r="J1668" s="64"/>
      <c r="L1668" s="64"/>
      <c r="N1668" s="64"/>
      <c r="P1668" s="64"/>
      <c r="Q1668" s="93"/>
    </row>
    <row r="1669" spans="3:17" x14ac:dyDescent="0.25">
      <c r="D1669" s="21" t="s">
        <v>19</v>
      </c>
      <c r="F1669" s="7">
        <v>50202010</v>
      </c>
      <c r="H1669" s="8">
        <v>400000</v>
      </c>
      <c r="J1669" s="8">
        <v>400000</v>
      </c>
      <c r="L1669" s="8">
        <v>400000</v>
      </c>
      <c r="N1669" s="8">
        <v>0</v>
      </c>
      <c r="P1669" s="8">
        <f t="shared" si="14"/>
        <v>0</v>
      </c>
    </row>
    <row r="1670" spans="3:17" x14ac:dyDescent="0.25">
      <c r="D1670" s="3" t="s">
        <v>769</v>
      </c>
      <c r="F1670" s="7">
        <v>50203010</v>
      </c>
      <c r="H1670" s="8">
        <v>100000</v>
      </c>
      <c r="J1670" s="8">
        <v>100000</v>
      </c>
      <c r="L1670" s="8">
        <v>100000</v>
      </c>
      <c r="N1670" s="8">
        <v>0</v>
      </c>
      <c r="P1670" s="8">
        <f t="shared" si="14"/>
        <v>0</v>
      </c>
    </row>
    <row r="1671" spans="3:17" x14ac:dyDescent="0.25">
      <c r="D1671" s="21" t="s">
        <v>99</v>
      </c>
      <c r="F1671" s="7">
        <v>50203990</v>
      </c>
      <c r="H1671" s="8">
        <v>100000</v>
      </c>
      <c r="J1671" s="8">
        <v>100000</v>
      </c>
      <c r="L1671" s="8">
        <v>100000</v>
      </c>
      <c r="N1671" s="8">
        <v>0</v>
      </c>
      <c r="P1671" s="8">
        <f t="shared" si="14"/>
        <v>0</v>
      </c>
    </row>
    <row r="1672" spans="3:17" x14ac:dyDescent="0.25">
      <c r="D1672" s="21" t="s">
        <v>38</v>
      </c>
      <c r="F1672" s="7">
        <v>50299030</v>
      </c>
      <c r="H1672" s="8">
        <v>400000</v>
      </c>
      <c r="J1672" s="8">
        <v>400000</v>
      </c>
      <c r="L1672" s="8">
        <v>400000</v>
      </c>
      <c r="N1672" s="8">
        <v>0</v>
      </c>
      <c r="P1672" s="8">
        <f t="shared" si="14"/>
        <v>0</v>
      </c>
    </row>
    <row r="1673" spans="3:17" x14ac:dyDescent="0.25">
      <c r="C1673" s="11" t="s">
        <v>364</v>
      </c>
      <c r="P1673" s="8">
        <f t="shared" si="14"/>
        <v>0</v>
      </c>
    </row>
    <row r="1674" spans="3:17" x14ac:dyDescent="0.25">
      <c r="D1674" s="3" t="s">
        <v>64</v>
      </c>
      <c r="F1674" s="7">
        <v>50205030</v>
      </c>
      <c r="H1674" s="17">
        <v>30000</v>
      </c>
      <c r="J1674" s="17">
        <v>30000</v>
      </c>
      <c r="L1674" s="17">
        <v>30000</v>
      </c>
      <c r="N1674" s="17">
        <v>0</v>
      </c>
      <c r="P1674" s="8">
        <f t="shared" si="14"/>
        <v>0</v>
      </c>
      <c r="Q1674" s="93">
        <f>+P1674</f>
        <v>0</v>
      </c>
    </row>
    <row r="1675" spans="3:17" x14ac:dyDescent="0.25">
      <c r="C1675" s="11" t="s">
        <v>682</v>
      </c>
    </row>
    <row r="1676" spans="3:17" x14ac:dyDescent="0.25">
      <c r="D1676" s="11" t="s">
        <v>683</v>
      </c>
    </row>
    <row r="1677" spans="3:17" x14ac:dyDescent="0.25">
      <c r="D1677" s="3" t="s">
        <v>735</v>
      </c>
      <c r="F1677" s="7">
        <v>50299030</v>
      </c>
      <c r="H1677" s="17">
        <v>500000</v>
      </c>
      <c r="J1677" s="17">
        <v>500000</v>
      </c>
      <c r="L1677" s="17">
        <v>500000</v>
      </c>
      <c r="N1677" s="17">
        <v>0</v>
      </c>
      <c r="P1677" s="8">
        <f t="shared" ref="P1677" si="15">+J1677-L1677</f>
        <v>0</v>
      </c>
      <c r="Q1677" s="93">
        <f>+P1677</f>
        <v>0</v>
      </c>
    </row>
    <row r="1678" spans="3:17" x14ac:dyDescent="0.25">
      <c r="C1678" s="11" t="s">
        <v>684</v>
      </c>
    </row>
    <row r="1679" spans="3:17" x14ac:dyDescent="0.25">
      <c r="D1679" s="11" t="s">
        <v>685</v>
      </c>
      <c r="H1679" s="17">
        <f>SUM(H1680:H1681)</f>
        <v>500000</v>
      </c>
      <c r="J1679" s="17">
        <f>SUM(J1680:J1681)</f>
        <v>500000</v>
      </c>
      <c r="L1679" s="17">
        <f>SUM(L1680:L1681)</f>
        <v>500000</v>
      </c>
      <c r="N1679" s="17">
        <f>SUM(N1680:N1681)</f>
        <v>0</v>
      </c>
      <c r="P1679" s="17">
        <f>SUM(P1680:P1681)</f>
        <v>0</v>
      </c>
      <c r="Q1679" s="93">
        <f>+P1679</f>
        <v>0</v>
      </c>
    </row>
    <row r="1680" spans="3:17" x14ac:dyDescent="0.25">
      <c r="D1680" s="3" t="s">
        <v>25</v>
      </c>
      <c r="F1680" s="7">
        <v>50211990</v>
      </c>
      <c r="H1680" s="8">
        <v>200000</v>
      </c>
      <c r="J1680" s="8">
        <v>200000</v>
      </c>
      <c r="L1680" s="8">
        <v>200000</v>
      </c>
      <c r="N1680" s="8">
        <v>0</v>
      </c>
      <c r="P1680" s="8">
        <f t="shared" ref="P1680:P1681" si="16">+J1680-L1680</f>
        <v>0</v>
      </c>
    </row>
    <row r="1681" spans="2:17" x14ac:dyDescent="0.25">
      <c r="D1681" s="3" t="s">
        <v>38</v>
      </c>
      <c r="F1681" s="7">
        <v>50299030</v>
      </c>
      <c r="H1681" s="8">
        <v>300000</v>
      </c>
      <c r="J1681" s="8">
        <v>300000</v>
      </c>
      <c r="L1681" s="8">
        <v>300000</v>
      </c>
      <c r="N1681" s="8">
        <v>0</v>
      </c>
      <c r="P1681" s="8">
        <f t="shared" si="16"/>
        <v>0</v>
      </c>
    </row>
    <row r="1682" spans="2:17" x14ac:dyDescent="0.25">
      <c r="B1682" s="11" t="s">
        <v>365</v>
      </c>
    </row>
    <row r="1683" spans="2:17" x14ac:dyDescent="0.25">
      <c r="C1683" s="11" t="s">
        <v>137</v>
      </c>
      <c r="H1683" s="17">
        <f>SUM(H1684:H1693)</f>
        <v>1400000</v>
      </c>
      <c r="J1683" s="17">
        <f>SUM(J1684:J1693)</f>
        <v>1400000</v>
      </c>
      <c r="L1683" s="17">
        <f>SUM(L1684:L1693)</f>
        <v>1400000</v>
      </c>
      <c r="N1683" s="17">
        <f>SUM(N1684:N1693)</f>
        <v>0</v>
      </c>
      <c r="P1683" s="17">
        <f>SUM(P1684:P1693)</f>
        <v>0</v>
      </c>
      <c r="Q1683" s="93">
        <f>+P1683</f>
        <v>0</v>
      </c>
    </row>
    <row r="1684" spans="2:17" x14ac:dyDescent="0.25">
      <c r="D1684" s="3" t="s">
        <v>760</v>
      </c>
      <c r="F1684" s="7">
        <v>50201010</v>
      </c>
      <c r="H1684" s="8">
        <v>40000</v>
      </c>
      <c r="J1684" s="8">
        <v>40000</v>
      </c>
      <c r="L1684" s="8">
        <v>40000</v>
      </c>
      <c r="N1684" s="8">
        <v>0</v>
      </c>
      <c r="P1684" s="8">
        <f t="shared" ref="P1684:P1711" si="17">+J1684-L1684</f>
        <v>0</v>
      </c>
    </row>
    <row r="1685" spans="2:17" x14ac:dyDescent="0.25">
      <c r="D1685" s="3" t="s">
        <v>19</v>
      </c>
      <c r="F1685" s="7">
        <v>50202010</v>
      </c>
      <c r="H1685" s="8">
        <v>130000</v>
      </c>
      <c r="J1685" s="8">
        <v>130000</v>
      </c>
      <c r="L1685" s="8">
        <v>130000</v>
      </c>
      <c r="N1685" s="8">
        <v>0</v>
      </c>
      <c r="P1685" s="8">
        <f t="shared" si="17"/>
        <v>0</v>
      </c>
    </row>
    <row r="1686" spans="2:17" x14ac:dyDescent="0.25">
      <c r="D1686" s="3" t="s">
        <v>36</v>
      </c>
      <c r="F1686" s="7">
        <v>50203010</v>
      </c>
      <c r="H1686" s="8">
        <v>10000</v>
      </c>
      <c r="J1686" s="8">
        <v>10000</v>
      </c>
      <c r="L1686" s="8">
        <v>10000</v>
      </c>
      <c r="N1686" s="8">
        <v>0</v>
      </c>
      <c r="P1686" s="8">
        <f t="shared" si="17"/>
        <v>0</v>
      </c>
    </row>
    <row r="1687" spans="2:17" x14ac:dyDescent="0.25">
      <c r="D1687" s="3" t="s">
        <v>20</v>
      </c>
      <c r="F1687" s="7">
        <v>50203090</v>
      </c>
      <c r="H1687" s="8">
        <v>30000</v>
      </c>
      <c r="J1687" s="8">
        <v>30000</v>
      </c>
      <c r="L1687" s="8">
        <v>30000</v>
      </c>
      <c r="N1687" s="8">
        <v>0</v>
      </c>
      <c r="P1687" s="8">
        <f t="shared" si="17"/>
        <v>0</v>
      </c>
    </row>
    <row r="1688" spans="2:17" x14ac:dyDescent="0.25">
      <c r="D1688" s="3" t="s">
        <v>37</v>
      </c>
      <c r="F1688" s="7">
        <v>50203990</v>
      </c>
      <c r="H1688" s="8">
        <v>20000</v>
      </c>
      <c r="J1688" s="8">
        <v>20000</v>
      </c>
      <c r="L1688" s="8">
        <v>20000</v>
      </c>
      <c r="N1688" s="8">
        <v>0</v>
      </c>
      <c r="P1688" s="8">
        <f t="shared" si="17"/>
        <v>0</v>
      </c>
    </row>
    <row r="1689" spans="2:17" x14ac:dyDescent="0.25">
      <c r="D1689" s="3" t="s">
        <v>25</v>
      </c>
      <c r="F1689" s="7">
        <v>50211990</v>
      </c>
      <c r="H1689" s="8">
        <v>80000</v>
      </c>
      <c r="J1689" s="8">
        <v>80000</v>
      </c>
      <c r="L1689" s="8">
        <v>80000</v>
      </c>
      <c r="N1689" s="8">
        <v>0</v>
      </c>
      <c r="P1689" s="8">
        <f t="shared" si="17"/>
        <v>0</v>
      </c>
    </row>
    <row r="1690" spans="2:17" x14ac:dyDescent="0.25">
      <c r="D1690" s="3" t="s">
        <v>26</v>
      </c>
      <c r="F1690" s="7">
        <v>50212990</v>
      </c>
      <c r="H1690" s="8">
        <v>230000</v>
      </c>
      <c r="J1690" s="8">
        <v>230000</v>
      </c>
      <c r="L1690" s="8">
        <v>230000</v>
      </c>
      <c r="N1690" s="8">
        <v>0</v>
      </c>
      <c r="P1690" s="8">
        <f t="shared" si="17"/>
        <v>0</v>
      </c>
    </row>
    <row r="1691" spans="2:17" x14ac:dyDescent="0.25">
      <c r="D1691" s="3" t="s">
        <v>686</v>
      </c>
      <c r="F1691" s="7">
        <v>50214030</v>
      </c>
      <c r="H1691" s="8">
        <v>800000</v>
      </c>
      <c r="J1691" s="8">
        <v>800000</v>
      </c>
      <c r="L1691" s="8">
        <v>800000</v>
      </c>
      <c r="N1691" s="8">
        <v>0</v>
      </c>
      <c r="P1691" s="8">
        <f t="shared" si="17"/>
        <v>0</v>
      </c>
    </row>
    <row r="1692" spans="2:17" x14ac:dyDescent="0.25">
      <c r="D1692" s="3" t="s">
        <v>91</v>
      </c>
      <c r="F1692" s="7">
        <v>50299020</v>
      </c>
      <c r="H1692" s="8">
        <v>10000</v>
      </c>
      <c r="J1692" s="8">
        <v>10000</v>
      </c>
      <c r="L1692" s="8">
        <v>10000</v>
      </c>
      <c r="N1692" s="8">
        <v>0</v>
      </c>
      <c r="P1692" s="8">
        <f t="shared" si="17"/>
        <v>0</v>
      </c>
    </row>
    <row r="1693" spans="2:17" x14ac:dyDescent="0.25">
      <c r="D1693" s="3" t="s">
        <v>735</v>
      </c>
      <c r="F1693" s="7">
        <v>50299030</v>
      </c>
      <c r="H1693" s="8">
        <v>50000</v>
      </c>
      <c r="J1693" s="8">
        <v>50000</v>
      </c>
      <c r="L1693" s="8">
        <v>50000</v>
      </c>
      <c r="N1693" s="8">
        <v>0</v>
      </c>
      <c r="P1693" s="8">
        <f t="shared" si="17"/>
        <v>0</v>
      </c>
    </row>
    <row r="1694" spans="2:17" x14ac:dyDescent="0.25">
      <c r="C1694" s="11" t="s">
        <v>820</v>
      </c>
      <c r="H1694" s="17">
        <f>SUM(H1695:H1704)</f>
        <v>1500000</v>
      </c>
      <c r="J1694" s="17">
        <f>SUM(J1695:J1704)</f>
        <v>1500000</v>
      </c>
      <c r="L1694" s="17">
        <f>SUM(L1695:L1704)</f>
        <v>1500000</v>
      </c>
      <c r="N1694" s="17">
        <f>SUM(N1695:N1704)</f>
        <v>0</v>
      </c>
      <c r="O1694" s="17"/>
      <c r="P1694" s="17">
        <f>SUM(P1695:P1704)</f>
        <v>0</v>
      </c>
      <c r="Q1694" s="93">
        <f>+P1694</f>
        <v>0</v>
      </c>
    </row>
    <row r="1695" spans="2:17" x14ac:dyDescent="0.25">
      <c r="D1695" s="3" t="s">
        <v>760</v>
      </c>
      <c r="F1695" s="7">
        <v>50201010</v>
      </c>
      <c r="H1695" s="8">
        <v>36000</v>
      </c>
      <c r="J1695" s="8">
        <v>36000</v>
      </c>
      <c r="L1695" s="8">
        <v>36000</v>
      </c>
      <c r="N1695" s="8">
        <v>0</v>
      </c>
      <c r="P1695" s="8">
        <f t="shared" si="17"/>
        <v>0</v>
      </c>
    </row>
    <row r="1696" spans="2:17" x14ac:dyDescent="0.25">
      <c r="D1696" s="3" t="s">
        <v>19</v>
      </c>
      <c r="F1696" s="7">
        <v>50202010</v>
      </c>
      <c r="H1696" s="8">
        <v>85000</v>
      </c>
      <c r="J1696" s="8">
        <v>85000</v>
      </c>
      <c r="L1696" s="8">
        <v>85000</v>
      </c>
      <c r="N1696" s="8">
        <v>0</v>
      </c>
      <c r="P1696" s="8">
        <f t="shared" si="17"/>
        <v>0</v>
      </c>
    </row>
    <row r="1697" spans="2:17" x14ac:dyDescent="0.25">
      <c r="D1697" s="3" t="s">
        <v>36</v>
      </c>
      <c r="F1697" s="7">
        <v>50203010</v>
      </c>
      <c r="H1697" s="8">
        <v>5000</v>
      </c>
      <c r="J1697" s="8">
        <v>5000</v>
      </c>
      <c r="L1697" s="8">
        <v>5000</v>
      </c>
      <c r="N1697" s="8">
        <v>0</v>
      </c>
      <c r="P1697" s="8">
        <f t="shared" si="17"/>
        <v>0</v>
      </c>
    </row>
    <row r="1698" spans="2:17" x14ac:dyDescent="0.25">
      <c r="D1698" s="3" t="s">
        <v>20</v>
      </c>
      <c r="F1698" s="7">
        <v>50203090</v>
      </c>
      <c r="H1698" s="8">
        <v>57440</v>
      </c>
      <c r="J1698" s="8">
        <v>57440</v>
      </c>
      <c r="L1698" s="8">
        <v>57440</v>
      </c>
      <c r="N1698" s="8">
        <v>0</v>
      </c>
      <c r="P1698" s="8">
        <f t="shared" si="17"/>
        <v>0</v>
      </c>
    </row>
    <row r="1699" spans="2:17" x14ac:dyDescent="0.25">
      <c r="D1699" s="3" t="s">
        <v>687</v>
      </c>
      <c r="F1699" s="7">
        <v>50203100</v>
      </c>
      <c r="H1699" s="8">
        <v>300000</v>
      </c>
      <c r="J1699" s="8">
        <v>300000</v>
      </c>
      <c r="L1699" s="8">
        <v>300000</v>
      </c>
      <c r="N1699" s="8">
        <v>0</v>
      </c>
      <c r="P1699" s="8">
        <f t="shared" si="17"/>
        <v>0</v>
      </c>
    </row>
    <row r="1700" spans="2:17" x14ac:dyDescent="0.25">
      <c r="D1700" s="3" t="s">
        <v>99</v>
      </c>
      <c r="F1700" s="7">
        <v>50203990</v>
      </c>
      <c r="H1700" s="8">
        <v>24000</v>
      </c>
      <c r="J1700" s="8">
        <v>24000</v>
      </c>
      <c r="L1700" s="8">
        <v>24000</v>
      </c>
      <c r="N1700" s="8">
        <v>0</v>
      </c>
      <c r="P1700" s="8">
        <f t="shared" si="17"/>
        <v>0</v>
      </c>
    </row>
    <row r="1701" spans="2:17" x14ac:dyDescent="0.25">
      <c r="D1701" s="3" t="s">
        <v>26</v>
      </c>
      <c r="F1701" s="7">
        <v>50212990</v>
      </c>
      <c r="H1701" s="8">
        <v>802560</v>
      </c>
      <c r="J1701" s="8">
        <v>802560</v>
      </c>
      <c r="L1701" s="8">
        <v>802560</v>
      </c>
      <c r="N1701" s="8">
        <v>0</v>
      </c>
      <c r="P1701" s="8">
        <f t="shared" si="17"/>
        <v>0</v>
      </c>
    </row>
    <row r="1702" spans="2:17" x14ac:dyDescent="0.25">
      <c r="D1702" s="3" t="s">
        <v>368</v>
      </c>
      <c r="F1702" s="7">
        <v>50214030</v>
      </c>
      <c r="H1702" s="8">
        <v>100000</v>
      </c>
      <c r="J1702" s="8">
        <v>100000</v>
      </c>
      <c r="L1702" s="8">
        <v>100000</v>
      </c>
      <c r="N1702" s="8">
        <v>0</v>
      </c>
      <c r="P1702" s="8">
        <f t="shared" si="17"/>
        <v>0</v>
      </c>
    </row>
    <row r="1703" spans="2:17" x14ac:dyDescent="0.25">
      <c r="D1703" s="3" t="s">
        <v>83</v>
      </c>
      <c r="F1703" s="7">
        <v>50299020</v>
      </c>
      <c r="H1703" s="8">
        <v>40000</v>
      </c>
      <c r="J1703" s="8">
        <v>40000</v>
      </c>
      <c r="L1703" s="8">
        <v>40000</v>
      </c>
      <c r="N1703" s="8">
        <v>0</v>
      </c>
      <c r="P1703" s="8">
        <f t="shared" si="17"/>
        <v>0</v>
      </c>
    </row>
    <row r="1704" spans="2:17" x14ac:dyDescent="0.25">
      <c r="D1704" s="3" t="s">
        <v>735</v>
      </c>
      <c r="F1704" s="7">
        <v>50299030</v>
      </c>
      <c r="H1704" s="8">
        <v>50000</v>
      </c>
      <c r="J1704" s="8">
        <v>50000</v>
      </c>
      <c r="L1704" s="8">
        <v>50000</v>
      </c>
      <c r="N1704" s="8">
        <v>0</v>
      </c>
      <c r="P1704" s="8">
        <f t="shared" si="17"/>
        <v>0</v>
      </c>
    </row>
    <row r="1705" spans="2:17" x14ac:dyDescent="0.25">
      <c r="C1705" s="11" t="s">
        <v>141</v>
      </c>
      <c r="H1705" s="17">
        <f>SUM(H1706:H1711)</f>
        <v>2000000</v>
      </c>
      <c r="J1705" s="17">
        <f>SUM(J1706:J1711)</f>
        <v>2000000</v>
      </c>
      <c r="L1705" s="17">
        <f>SUM(L1706:L1711)</f>
        <v>2000000</v>
      </c>
      <c r="N1705" s="17">
        <f>SUM(N1706:N1711)</f>
        <v>0</v>
      </c>
      <c r="P1705" s="17">
        <f>SUM(P1706:P1711)</f>
        <v>0</v>
      </c>
      <c r="Q1705" s="93">
        <f>+P1705</f>
        <v>0</v>
      </c>
    </row>
    <row r="1706" spans="2:17" x14ac:dyDescent="0.25">
      <c r="D1706" s="3" t="s">
        <v>19</v>
      </c>
      <c r="F1706" s="7">
        <v>50202010</v>
      </c>
      <c r="H1706" s="8">
        <v>150000</v>
      </c>
      <c r="J1706" s="8">
        <v>150000</v>
      </c>
      <c r="L1706" s="8">
        <v>150000</v>
      </c>
      <c r="N1706" s="8">
        <v>0</v>
      </c>
      <c r="P1706" s="8">
        <f t="shared" si="17"/>
        <v>0</v>
      </c>
    </row>
    <row r="1707" spans="2:17" x14ac:dyDescent="0.25">
      <c r="D1707" s="3" t="s">
        <v>20</v>
      </c>
      <c r="F1707" s="7">
        <v>50203090</v>
      </c>
      <c r="H1707" s="8">
        <v>400000</v>
      </c>
      <c r="J1707" s="8">
        <v>400000</v>
      </c>
      <c r="L1707" s="8">
        <v>400000</v>
      </c>
      <c r="N1707" s="8">
        <v>0</v>
      </c>
      <c r="P1707" s="8">
        <f t="shared" si="17"/>
        <v>0</v>
      </c>
    </row>
    <row r="1708" spans="2:17" x14ac:dyDescent="0.25">
      <c r="D1708" s="3" t="s">
        <v>687</v>
      </c>
      <c r="F1708" s="7">
        <v>50203100</v>
      </c>
      <c r="H1708" s="8">
        <v>800000</v>
      </c>
      <c r="J1708" s="8">
        <v>800000</v>
      </c>
      <c r="L1708" s="8">
        <v>800000</v>
      </c>
      <c r="N1708" s="8">
        <v>0</v>
      </c>
      <c r="P1708" s="8">
        <f t="shared" si="17"/>
        <v>0</v>
      </c>
    </row>
    <row r="1709" spans="2:17" x14ac:dyDescent="0.25">
      <c r="D1709" s="3" t="s">
        <v>99</v>
      </c>
      <c r="F1709" s="7">
        <v>50203990</v>
      </c>
      <c r="H1709" s="8">
        <v>190000</v>
      </c>
      <c r="J1709" s="8">
        <v>190000</v>
      </c>
      <c r="L1709" s="8">
        <v>190000</v>
      </c>
      <c r="N1709" s="8">
        <v>0</v>
      </c>
      <c r="P1709" s="8">
        <f t="shared" si="17"/>
        <v>0</v>
      </c>
    </row>
    <row r="1710" spans="2:17" x14ac:dyDescent="0.25">
      <c r="D1710" s="3" t="s">
        <v>26</v>
      </c>
      <c r="F1710" s="7">
        <v>50212990</v>
      </c>
      <c r="H1710" s="8">
        <v>400000</v>
      </c>
      <c r="J1710" s="8">
        <v>400000</v>
      </c>
      <c r="L1710" s="8">
        <v>400000</v>
      </c>
      <c r="N1710" s="8">
        <v>0</v>
      </c>
      <c r="P1710" s="8">
        <f t="shared" si="17"/>
        <v>0</v>
      </c>
    </row>
    <row r="1711" spans="2:17" x14ac:dyDescent="0.25">
      <c r="D1711" s="3" t="s">
        <v>735</v>
      </c>
      <c r="F1711" s="7">
        <v>50299030</v>
      </c>
      <c r="H1711" s="8">
        <v>60000</v>
      </c>
      <c r="J1711" s="8">
        <v>60000</v>
      </c>
      <c r="L1711" s="8">
        <v>60000</v>
      </c>
      <c r="N1711" s="8">
        <v>0</v>
      </c>
      <c r="P1711" s="8">
        <f t="shared" si="17"/>
        <v>0</v>
      </c>
    </row>
    <row r="1712" spans="2:17" x14ac:dyDescent="0.25">
      <c r="B1712" s="11" t="s">
        <v>365</v>
      </c>
    </row>
    <row r="1713" spans="3:17" x14ac:dyDescent="0.25">
      <c r="C1713" s="11" t="s">
        <v>138</v>
      </c>
      <c r="H1713" s="17">
        <f>SUM(H1714:H1723)</f>
        <v>650000</v>
      </c>
      <c r="J1713" s="17">
        <f>SUM(J1714:J1723)</f>
        <v>650000</v>
      </c>
      <c r="L1713" s="17">
        <f>SUM(L1714:L1723)</f>
        <v>650000</v>
      </c>
      <c r="N1713" s="17">
        <f>SUM(N1714:N1723)</f>
        <v>0</v>
      </c>
      <c r="P1713" s="17">
        <f>SUM(P1714:P1723)</f>
        <v>0</v>
      </c>
      <c r="Q1713" s="93">
        <f>+P1713</f>
        <v>0</v>
      </c>
    </row>
    <row r="1714" spans="3:17" x14ac:dyDescent="0.25">
      <c r="D1714" s="3" t="s">
        <v>760</v>
      </c>
      <c r="F1714" s="7">
        <v>50201010</v>
      </c>
      <c r="H1714" s="8">
        <v>52096</v>
      </c>
      <c r="J1714" s="8">
        <v>52096</v>
      </c>
      <c r="L1714" s="8">
        <v>52096</v>
      </c>
      <c r="N1714" s="8">
        <v>0</v>
      </c>
      <c r="P1714" s="8">
        <f t="shared" ref="P1714:P1756" si="18">+J1714-L1714</f>
        <v>0</v>
      </c>
    </row>
    <row r="1715" spans="3:17" x14ac:dyDescent="0.25">
      <c r="D1715" s="3" t="s">
        <v>19</v>
      </c>
      <c r="F1715" s="7">
        <v>50202010</v>
      </c>
      <c r="H1715" s="8">
        <v>50000</v>
      </c>
      <c r="J1715" s="8">
        <v>50000</v>
      </c>
      <c r="L1715" s="8">
        <v>50000</v>
      </c>
      <c r="N1715" s="8">
        <v>0</v>
      </c>
      <c r="P1715" s="8">
        <f t="shared" si="18"/>
        <v>0</v>
      </c>
    </row>
    <row r="1716" spans="3:17" x14ac:dyDescent="0.25">
      <c r="D1716" s="3" t="s">
        <v>751</v>
      </c>
      <c r="F1716" s="7">
        <v>50203010</v>
      </c>
      <c r="H1716" s="8">
        <v>20000</v>
      </c>
      <c r="J1716" s="8">
        <v>20000</v>
      </c>
      <c r="L1716" s="8">
        <v>20000</v>
      </c>
      <c r="N1716" s="8">
        <v>0</v>
      </c>
      <c r="P1716" s="8">
        <f t="shared" si="18"/>
        <v>0</v>
      </c>
    </row>
    <row r="1717" spans="3:17" x14ac:dyDescent="0.25">
      <c r="D1717" s="3" t="s">
        <v>688</v>
      </c>
      <c r="F1717" s="7">
        <v>50203090</v>
      </c>
      <c r="H1717" s="8">
        <v>65000</v>
      </c>
      <c r="J1717" s="8">
        <v>65000</v>
      </c>
      <c r="L1717" s="8">
        <v>65000</v>
      </c>
      <c r="N1717" s="8">
        <v>0</v>
      </c>
      <c r="P1717" s="8">
        <f t="shared" si="18"/>
        <v>0</v>
      </c>
    </row>
    <row r="1718" spans="3:17" x14ac:dyDescent="0.25">
      <c r="D1718" s="3" t="s">
        <v>687</v>
      </c>
      <c r="F1718" s="7">
        <v>50203100</v>
      </c>
      <c r="H1718" s="8">
        <v>100000</v>
      </c>
      <c r="J1718" s="8">
        <v>100000</v>
      </c>
      <c r="L1718" s="8">
        <v>100000</v>
      </c>
      <c r="N1718" s="8">
        <v>0</v>
      </c>
      <c r="P1718" s="8">
        <f t="shared" si="18"/>
        <v>0</v>
      </c>
    </row>
    <row r="1719" spans="3:17" x14ac:dyDescent="0.25">
      <c r="D1719" s="3" t="s">
        <v>26</v>
      </c>
      <c r="F1719" s="7">
        <v>50212990</v>
      </c>
      <c r="H1719" s="8">
        <v>222904</v>
      </c>
      <c r="J1719" s="8">
        <v>222904</v>
      </c>
      <c r="L1719" s="8">
        <v>222904</v>
      </c>
      <c r="N1719" s="8">
        <v>0</v>
      </c>
      <c r="P1719" s="8">
        <f t="shared" si="18"/>
        <v>0</v>
      </c>
    </row>
    <row r="1720" spans="3:17" x14ac:dyDescent="0.25">
      <c r="D1720" s="3" t="s">
        <v>250</v>
      </c>
      <c r="F1720" s="7">
        <v>50213040</v>
      </c>
      <c r="H1720" s="8">
        <v>25000</v>
      </c>
      <c r="J1720" s="8">
        <v>25000</v>
      </c>
      <c r="L1720" s="8">
        <v>25000</v>
      </c>
      <c r="N1720" s="8">
        <v>0</v>
      </c>
      <c r="P1720" s="8">
        <f t="shared" si="18"/>
        <v>0</v>
      </c>
    </row>
    <row r="1721" spans="3:17" x14ac:dyDescent="0.25">
      <c r="D1721" s="3" t="s">
        <v>130</v>
      </c>
      <c r="F1721" s="7">
        <v>50213050</v>
      </c>
      <c r="H1721" s="8">
        <v>25000</v>
      </c>
      <c r="J1721" s="8">
        <v>25000</v>
      </c>
      <c r="L1721" s="8">
        <v>25000</v>
      </c>
      <c r="N1721" s="8">
        <v>0</v>
      </c>
      <c r="P1721" s="8">
        <f t="shared" si="18"/>
        <v>0</v>
      </c>
    </row>
    <row r="1722" spans="3:17" x14ac:dyDescent="0.25">
      <c r="D1722" s="3" t="s">
        <v>91</v>
      </c>
      <c r="F1722" s="7">
        <v>50299020</v>
      </c>
      <c r="H1722" s="8">
        <v>15000</v>
      </c>
      <c r="J1722" s="8">
        <v>15000</v>
      </c>
      <c r="L1722" s="8">
        <v>15000</v>
      </c>
      <c r="N1722" s="8">
        <v>0</v>
      </c>
      <c r="P1722" s="8">
        <f t="shared" si="18"/>
        <v>0</v>
      </c>
    </row>
    <row r="1723" spans="3:17" x14ac:dyDescent="0.25">
      <c r="D1723" s="3" t="s">
        <v>38</v>
      </c>
      <c r="F1723" s="7">
        <v>50299030</v>
      </c>
      <c r="H1723" s="8">
        <v>75000</v>
      </c>
      <c r="J1723" s="8">
        <v>75000</v>
      </c>
      <c r="L1723" s="8">
        <v>75000</v>
      </c>
      <c r="N1723" s="8">
        <v>0</v>
      </c>
      <c r="P1723" s="8">
        <f t="shared" si="18"/>
        <v>0</v>
      </c>
    </row>
    <row r="1724" spans="3:17" x14ac:dyDescent="0.25">
      <c r="C1724" s="11" t="s">
        <v>366</v>
      </c>
      <c r="H1724" s="17">
        <f>SUM(H1725:H1728)</f>
        <v>650000</v>
      </c>
      <c r="J1724" s="17">
        <f>SUM(J1725:J1728)</f>
        <v>650000</v>
      </c>
      <c r="L1724" s="17">
        <f>SUM(L1725:L1728)</f>
        <v>650000</v>
      </c>
      <c r="N1724" s="17">
        <f>SUM(N1725:N1728)</f>
        <v>0</v>
      </c>
      <c r="P1724" s="17">
        <f>SUM(P1725:P1728)</f>
        <v>0</v>
      </c>
      <c r="Q1724" s="93">
        <f>+P1724</f>
        <v>0</v>
      </c>
    </row>
    <row r="1725" spans="3:17" x14ac:dyDescent="0.25">
      <c r="D1725" s="3" t="s">
        <v>19</v>
      </c>
      <c r="F1725" s="7">
        <v>50202010</v>
      </c>
      <c r="H1725" s="8">
        <v>186400</v>
      </c>
      <c r="J1725" s="8">
        <v>186400</v>
      </c>
      <c r="L1725" s="8">
        <v>186400</v>
      </c>
      <c r="N1725" s="8">
        <v>0</v>
      </c>
      <c r="P1725" s="8">
        <f t="shared" si="18"/>
        <v>0</v>
      </c>
    </row>
    <row r="1726" spans="3:17" x14ac:dyDescent="0.25">
      <c r="D1726" s="3" t="s">
        <v>687</v>
      </c>
      <c r="F1726" s="7">
        <v>50203100</v>
      </c>
      <c r="H1726" s="8">
        <v>325100</v>
      </c>
      <c r="J1726" s="8">
        <v>325100</v>
      </c>
      <c r="L1726" s="8">
        <v>325100</v>
      </c>
      <c r="N1726" s="8">
        <v>0</v>
      </c>
      <c r="P1726" s="8">
        <f t="shared" si="18"/>
        <v>0</v>
      </c>
    </row>
    <row r="1727" spans="3:17" x14ac:dyDescent="0.25">
      <c r="D1727" s="3" t="s">
        <v>26</v>
      </c>
      <c r="F1727" s="7">
        <v>50212990</v>
      </c>
      <c r="H1727" s="8">
        <v>96000</v>
      </c>
      <c r="J1727" s="8">
        <v>96000</v>
      </c>
      <c r="L1727" s="8">
        <v>96000</v>
      </c>
      <c r="N1727" s="8">
        <v>0</v>
      </c>
      <c r="P1727" s="8">
        <f t="shared" si="18"/>
        <v>0</v>
      </c>
    </row>
    <row r="1728" spans="3:17" x14ac:dyDescent="0.25">
      <c r="D1728" s="3" t="s">
        <v>38</v>
      </c>
      <c r="F1728" s="7">
        <v>50299030</v>
      </c>
      <c r="H1728" s="8">
        <v>42500</v>
      </c>
      <c r="J1728" s="8">
        <v>42500</v>
      </c>
      <c r="L1728" s="8">
        <v>42500</v>
      </c>
      <c r="N1728" s="8">
        <v>0</v>
      </c>
      <c r="P1728" s="8">
        <f t="shared" si="18"/>
        <v>0</v>
      </c>
    </row>
    <row r="1729" spans="3:17" x14ac:dyDescent="0.25">
      <c r="C1729" s="11" t="s">
        <v>139</v>
      </c>
      <c r="H1729" s="17">
        <f>SUM(H1730:H1737)</f>
        <v>1700000</v>
      </c>
      <c r="J1729" s="17">
        <f>SUM(J1730:J1737)</f>
        <v>1700000</v>
      </c>
      <c r="L1729" s="17">
        <f>SUM(L1730:L1737)</f>
        <v>1700000</v>
      </c>
      <c r="N1729" s="17">
        <f>SUM(N1730:N1737)</f>
        <v>0</v>
      </c>
      <c r="P1729" s="17">
        <f>SUM(P1730:P1737)</f>
        <v>0</v>
      </c>
      <c r="Q1729" s="93">
        <f>+P1729</f>
        <v>0</v>
      </c>
    </row>
    <row r="1730" spans="3:17" x14ac:dyDescent="0.25">
      <c r="D1730" s="3" t="s">
        <v>760</v>
      </c>
      <c r="F1730" s="7">
        <v>50201010</v>
      </c>
      <c r="H1730" s="8">
        <v>12000</v>
      </c>
      <c r="J1730" s="8">
        <v>12000</v>
      </c>
      <c r="L1730" s="8">
        <v>12000</v>
      </c>
      <c r="N1730" s="8">
        <v>0</v>
      </c>
      <c r="P1730" s="8">
        <f t="shared" si="18"/>
        <v>0</v>
      </c>
    </row>
    <row r="1731" spans="3:17" x14ac:dyDescent="0.25">
      <c r="D1731" s="3" t="s">
        <v>19</v>
      </c>
      <c r="F1731" s="7">
        <v>50202010</v>
      </c>
      <c r="H1731" s="8">
        <v>80000</v>
      </c>
      <c r="J1731" s="8">
        <v>80000</v>
      </c>
      <c r="L1731" s="8">
        <v>80000</v>
      </c>
      <c r="N1731" s="8">
        <v>0</v>
      </c>
      <c r="P1731" s="8">
        <f t="shared" si="18"/>
        <v>0</v>
      </c>
    </row>
    <row r="1732" spans="3:17" x14ac:dyDescent="0.25">
      <c r="D1732" s="3" t="s">
        <v>20</v>
      </c>
      <c r="F1732" s="7">
        <v>50203090</v>
      </c>
      <c r="H1732" s="8">
        <v>25000</v>
      </c>
      <c r="J1732" s="8">
        <v>25000</v>
      </c>
      <c r="L1732" s="8">
        <v>25000</v>
      </c>
      <c r="N1732" s="8">
        <v>0</v>
      </c>
      <c r="P1732" s="8">
        <f t="shared" si="18"/>
        <v>0</v>
      </c>
    </row>
    <row r="1733" spans="3:17" x14ac:dyDescent="0.25">
      <c r="D1733" s="3" t="s">
        <v>687</v>
      </c>
      <c r="F1733" s="7">
        <v>50203100</v>
      </c>
      <c r="H1733" s="8">
        <v>529128</v>
      </c>
      <c r="J1733" s="8">
        <v>529128</v>
      </c>
      <c r="L1733" s="8">
        <v>529128</v>
      </c>
      <c r="N1733" s="8">
        <v>0</v>
      </c>
      <c r="P1733" s="8">
        <f t="shared" si="18"/>
        <v>0</v>
      </c>
    </row>
    <row r="1734" spans="3:17" x14ac:dyDescent="0.25">
      <c r="D1734" s="3" t="s">
        <v>37</v>
      </c>
      <c r="F1734" s="7">
        <v>50203990</v>
      </c>
      <c r="H1734" s="8">
        <v>15000</v>
      </c>
      <c r="J1734" s="8">
        <v>15000</v>
      </c>
      <c r="L1734" s="8">
        <v>15000</v>
      </c>
      <c r="N1734" s="8">
        <v>0</v>
      </c>
      <c r="P1734" s="8">
        <f t="shared" si="18"/>
        <v>0</v>
      </c>
    </row>
    <row r="1735" spans="3:17" x14ac:dyDescent="0.25">
      <c r="D1735" s="3" t="s">
        <v>26</v>
      </c>
      <c r="F1735" s="7">
        <v>50212990</v>
      </c>
      <c r="H1735" s="8">
        <v>883872</v>
      </c>
      <c r="J1735" s="8">
        <v>883872</v>
      </c>
      <c r="L1735" s="8">
        <v>883872</v>
      </c>
      <c r="N1735" s="8">
        <v>0</v>
      </c>
      <c r="P1735" s="8">
        <f t="shared" si="18"/>
        <v>0</v>
      </c>
    </row>
    <row r="1736" spans="3:17" x14ac:dyDescent="0.25">
      <c r="D1736" s="3" t="s">
        <v>38</v>
      </c>
      <c r="F1736" s="7">
        <v>50299030</v>
      </c>
      <c r="H1736" s="8">
        <v>50000</v>
      </c>
      <c r="J1736" s="8">
        <v>50000</v>
      </c>
      <c r="L1736" s="8">
        <v>50000</v>
      </c>
      <c r="N1736" s="8">
        <v>0</v>
      </c>
      <c r="P1736" s="8">
        <f t="shared" si="18"/>
        <v>0</v>
      </c>
    </row>
    <row r="1737" spans="3:17" x14ac:dyDescent="0.25">
      <c r="D1737" s="3" t="s">
        <v>743</v>
      </c>
      <c r="F1737" s="7">
        <v>50299080</v>
      </c>
      <c r="H1737" s="8">
        <v>105000</v>
      </c>
      <c r="J1737" s="8">
        <v>105000</v>
      </c>
      <c r="L1737" s="8">
        <v>105000</v>
      </c>
      <c r="N1737" s="8">
        <v>0</v>
      </c>
      <c r="P1737" s="8">
        <f t="shared" si="18"/>
        <v>0</v>
      </c>
    </row>
    <row r="1738" spans="3:17" x14ac:dyDescent="0.25">
      <c r="C1738" s="11" t="s">
        <v>821</v>
      </c>
      <c r="H1738" s="17">
        <f>SUM(H1740:H1747)</f>
        <v>600000</v>
      </c>
      <c r="J1738" s="17">
        <f>SUM(J1740:J1747)</f>
        <v>600000</v>
      </c>
      <c r="L1738" s="17">
        <f>SUM(L1740:L1747)</f>
        <v>600000</v>
      </c>
      <c r="N1738" s="17">
        <f>SUM(N1740:N1747)</f>
        <v>0</v>
      </c>
      <c r="P1738" s="17">
        <f>SUM(P1740:P1747)</f>
        <v>0</v>
      </c>
      <c r="Q1738" s="93">
        <f>+P1738</f>
        <v>0</v>
      </c>
    </row>
    <row r="1739" spans="3:17" x14ac:dyDescent="0.25">
      <c r="C1739" s="11" t="s">
        <v>822</v>
      </c>
      <c r="H1739" s="64"/>
      <c r="J1739" s="64"/>
      <c r="L1739" s="64"/>
      <c r="N1739" s="64"/>
      <c r="P1739" s="64"/>
      <c r="Q1739" s="93"/>
    </row>
    <row r="1740" spans="3:17" x14ac:dyDescent="0.25">
      <c r="D1740" s="3" t="s">
        <v>760</v>
      </c>
      <c r="F1740" s="7">
        <v>50201010</v>
      </c>
      <c r="H1740" s="8">
        <v>28712</v>
      </c>
      <c r="J1740" s="8">
        <v>28712</v>
      </c>
      <c r="L1740" s="8">
        <v>28712</v>
      </c>
      <c r="N1740" s="8">
        <v>0</v>
      </c>
      <c r="P1740" s="8">
        <f t="shared" si="18"/>
        <v>0</v>
      </c>
    </row>
    <row r="1741" spans="3:17" x14ac:dyDescent="0.25">
      <c r="D1741" s="3" t="s">
        <v>19</v>
      </c>
      <c r="F1741" s="7">
        <v>50202010</v>
      </c>
      <c r="H1741" s="8">
        <v>25000</v>
      </c>
      <c r="J1741" s="8">
        <v>25000</v>
      </c>
      <c r="L1741" s="8">
        <v>25000</v>
      </c>
      <c r="N1741" s="8">
        <v>0</v>
      </c>
      <c r="P1741" s="8">
        <f t="shared" si="18"/>
        <v>0</v>
      </c>
    </row>
    <row r="1742" spans="3:17" x14ac:dyDescent="0.25">
      <c r="D1742" s="3" t="s">
        <v>20</v>
      </c>
      <c r="F1742" s="7">
        <v>50203090</v>
      </c>
      <c r="H1742" s="8">
        <v>55000</v>
      </c>
      <c r="J1742" s="8">
        <v>55000</v>
      </c>
      <c r="L1742" s="8">
        <v>55000</v>
      </c>
      <c r="N1742" s="8">
        <v>0</v>
      </c>
      <c r="P1742" s="8">
        <f t="shared" si="18"/>
        <v>0</v>
      </c>
    </row>
    <row r="1743" spans="3:17" x14ac:dyDescent="0.25">
      <c r="D1743" s="3" t="s">
        <v>26</v>
      </c>
      <c r="F1743" s="7">
        <v>50212990</v>
      </c>
      <c r="H1743" s="8">
        <v>284000</v>
      </c>
      <c r="J1743" s="8">
        <v>284000</v>
      </c>
      <c r="L1743" s="8">
        <v>284000</v>
      </c>
      <c r="N1743" s="8">
        <v>0</v>
      </c>
      <c r="P1743" s="8">
        <f t="shared" si="18"/>
        <v>0</v>
      </c>
    </row>
    <row r="1744" spans="3:17" x14ac:dyDescent="0.25">
      <c r="D1744" s="3" t="s">
        <v>367</v>
      </c>
      <c r="F1744" s="7">
        <v>50213030</v>
      </c>
      <c r="H1744" s="8">
        <v>100000</v>
      </c>
      <c r="J1744" s="8">
        <v>100000</v>
      </c>
      <c r="L1744" s="8">
        <v>100000</v>
      </c>
      <c r="N1744" s="8">
        <v>0</v>
      </c>
      <c r="P1744" s="8">
        <f t="shared" si="18"/>
        <v>0</v>
      </c>
    </row>
    <row r="1745" spans="2:17" x14ac:dyDescent="0.25">
      <c r="D1745" s="3" t="s">
        <v>27</v>
      </c>
      <c r="F1745" s="7">
        <v>50213050</v>
      </c>
      <c r="H1745" s="8">
        <v>63288</v>
      </c>
      <c r="J1745" s="8">
        <v>63288</v>
      </c>
      <c r="L1745" s="8">
        <v>63288</v>
      </c>
      <c r="N1745" s="8">
        <v>0</v>
      </c>
      <c r="P1745" s="8">
        <f t="shared" si="18"/>
        <v>0</v>
      </c>
    </row>
    <row r="1746" spans="2:17" x14ac:dyDescent="0.25">
      <c r="D1746" s="3" t="s">
        <v>91</v>
      </c>
      <c r="F1746" s="7">
        <v>50299020</v>
      </c>
      <c r="H1746" s="8">
        <v>20000</v>
      </c>
      <c r="J1746" s="8">
        <v>20000</v>
      </c>
      <c r="L1746" s="8">
        <v>20000</v>
      </c>
      <c r="N1746" s="8">
        <v>0</v>
      </c>
      <c r="P1746" s="8">
        <f t="shared" si="18"/>
        <v>0</v>
      </c>
    </row>
    <row r="1747" spans="2:17" x14ac:dyDescent="0.25">
      <c r="D1747" s="3" t="s">
        <v>38</v>
      </c>
      <c r="F1747" s="7">
        <v>50299030</v>
      </c>
      <c r="H1747" s="8">
        <v>24000</v>
      </c>
      <c r="J1747" s="8">
        <v>24000</v>
      </c>
      <c r="L1747" s="8">
        <v>24000</v>
      </c>
      <c r="N1747" s="8">
        <v>0</v>
      </c>
      <c r="P1747" s="8">
        <f t="shared" si="18"/>
        <v>0</v>
      </c>
    </row>
    <row r="1748" spans="2:17" x14ac:dyDescent="0.25">
      <c r="C1748" s="11" t="s">
        <v>823</v>
      </c>
      <c r="H1748" s="17">
        <f>SUM(H1749:H1756)</f>
        <v>800000</v>
      </c>
      <c r="J1748" s="17">
        <f>SUM(J1749:J1756)</f>
        <v>800000</v>
      </c>
      <c r="L1748" s="17">
        <f>SUM(L1749:L1756)</f>
        <v>800000</v>
      </c>
      <c r="N1748" s="17">
        <f>SUM(N1749:N1756)</f>
        <v>0</v>
      </c>
      <c r="P1748" s="17">
        <f>SUM(P1749:P1756)</f>
        <v>0</v>
      </c>
      <c r="Q1748" s="93">
        <f>+P1748</f>
        <v>0</v>
      </c>
    </row>
    <row r="1749" spans="2:17" x14ac:dyDescent="0.25">
      <c r="D1749" s="3" t="s">
        <v>760</v>
      </c>
      <c r="F1749" s="7">
        <v>50201010</v>
      </c>
      <c r="H1749" s="8">
        <v>17000</v>
      </c>
      <c r="J1749" s="8">
        <v>17000</v>
      </c>
      <c r="L1749" s="8">
        <v>17000</v>
      </c>
      <c r="N1749" s="8">
        <v>0</v>
      </c>
      <c r="P1749" s="8">
        <f t="shared" si="18"/>
        <v>0</v>
      </c>
    </row>
    <row r="1750" spans="2:17" x14ac:dyDescent="0.25">
      <c r="D1750" s="3" t="s">
        <v>19</v>
      </c>
      <c r="F1750" s="7">
        <v>50202010</v>
      </c>
      <c r="H1750" s="8">
        <v>45000</v>
      </c>
      <c r="J1750" s="8">
        <v>45000</v>
      </c>
      <c r="L1750" s="8">
        <v>45000</v>
      </c>
      <c r="N1750" s="8">
        <v>0</v>
      </c>
      <c r="P1750" s="8">
        <f t="shared" si="18"/>
        <v>0</v>
      </c>
    </row>
    <row r="1751" spans="2:17" x14ac:dyDescent="0.25">
      <c r="D1751" s="3" t="s">
        <v>20</v>
      </c>
      <c r="F1751" s="7">
        <v>50203090</v>
      </c>
      <c r="H1751" s="8">
        <v>24900</v>
      </c>
      <c r="J1751" s="8">
        <v>24900</v>
      </c>
      <c r="L1751" s="8">
        <v>24900</v>
      </c>
      <c r="N1751" s="8">
        <v>0</v>
      </c>
      <c r="P1751" s="8">
        <f t="shared" si="18"/>
        <v>0</v>
      </c>
    </row>
    <row r="1752" spans="2:17" x14ac:dyDescent="0.25">
      <c r="D1752" s="3" t="s">
        <v>687</v>
      </c>
      <c r="F1752" s="7">
        <v>50203100</v>
      </c>
      <c r="H1752" s="8">
        <v>229100</v>
      </c>
      <c r="J1752" s="8">
        <v>229100</v>
      </c>
      <c r="L1752" s="8">
        <v>229100</v>
      </c>
      <c r="N1752" s="8">
        <v>0</v>
      </c>
      <c r="P1752" s="8">
        <f t="shared" si="18"/>
        <v>0</v>
      </c>
    </row>
    <row r="1753" spans="2:17" x14ac:dyDescent="0.25">
      <c r="D1753" s="3" t="s">
        <v>37</v>
      </c>
      <c r="F1753" s="7">
        <v>50203990</v>
      </c>
      <c r="H1753" s="8">
        <v>15000</v>
      </c>
      <c r="J1753" s="8">
        <v>15000</v>
      </c>
      <c r="L1753" s="8">
        <v>15000</v>
      </c>
      <c r="N1753" s="8">
        <v>0</v>
      </c>
      <c r="P1753" s="8">
        <f t="shared" si="18"/>
        <v>0</v>
      </c>
    </row>
    <row r="1754" spans="2:17" x14ac:dyDescent="0.25">
      <c r="D1754" s="3" t="s">
        <v>21</v>
      </c>
      <c r="F1754" s="7">
        <v>50204010</v>
      </c>
      <c r="H1754" s="8">
        <v>2500</v>
      </c>
      <c r="J1754" s="8">
        <v>2500</v>
      </c>
      <c r="L1754" s="8">
        <v>2500</v>
      </c>
      <c r="N1754" s="8">
        <v>0</v>
      </c>
      <c r="P1754" s="8">
        <f t="shared" si="18"/>
        <v>0</v>
      </c>
    </row>
    <row r="1755" spans="2:17" x14ac:dyDescent="0.25">
      <c r="D1755" s="3" t="s">
        <v>26</v>
      </c>
      <c r="F1755" s="7">
        <v>50212990</v>
      </c>
      <c r="H1755" s="8">
        <v>409000</v>
      </c>
      <c r="J1755" s="8">
        <v>409000</v>
      </c>
      <c r="L1755" s="8">
        <v>409000</v>
      </c>
      <c r="N1755" s="8">
        <v>0</v>
      </c>
      <c r="P1755" s="8">
        <f t="shared" si="18"/>
        <v>0</v>
      </c>
    </row>
    <row r="1756" spans="2:17" x14ac:dyDescent="0.25">
      <c r="D1756" s="3" t="s">
        <v>38</v>
      </c>
      <c r="F1756" s="7">
        <v>50299030</v>
      </c>
      <c r="H1756" s="8">
        <v>57500</v>
      </c>
      <c r="J1756" s="8">
        <v>57500</v>
      </c>
      <c r="L1756" s="8">
        <v>57500</v>
      </c>
      <c r="N1756" s="8">
        <v>0</v>
      </c>
      <c r="P1756" s="8">
        <f t="shared" si="18"/>
        <v>0</v>
      </c>
    </row>
    <row r="1758" spans="2:17" x14ac:dyDescent="0.25">
      <c r="B1758" s="11" t="s">
        <v>287</v>
      </c>
      <c r="F1758" s="7">
        <v>300</v>
      </c>
      <c r="H1758" s="17">
        <f>SUM(H1759:H1787)</f>
        <v>31466825.27</v>
      </c>
      <c r="J1758" s="17">
        <f>SUM(J1759:J1787)</f>
        <v>31466825.27</v>
      </c>
      <c r="L1758" s="17">
        <f>SUM(L1759:L1787)</f>
        <v>23097322.27</v>
      </c>
      <c r="N1758" s="17">
        <f>SUM(N1759:N1787)</f>
        <v>0</v>
      </c>
      <c r="P1758" s="17">
        <f>SUM(P1759:P1787)</f>
        <v>8369503</v>
      </c>
    </row>
    <row r="1759" spans="2:17" x14ac:dyDescent="0.25">
      <c r="B1759" s="11"/>
      <c r="C1759" s="3" t="s">
        <v>288</v>
      </c>
      <c r="F1759" s="7">
        <v>10701010</v>
      </c>
    </row>
    <row r="1760" spans="2:17" x14ac:dyDescent="0.25">
      <c r="D1760" s="3" t="s">
        <v>690</v>
      </c>
      <c r="H1760" s="8">
        <v>3000000</v>
      </c>
      <c r="J1760" s="8">
        <v>3000000</v>
      </c>
      <c r="L1760" s="8">
        <v>3000000</v>
      </c>
      <c r="N1760" s="8">
        <v>0</v>
      </c>
      <c r="P1760" s="8">
        <v>0</v>
      </c>
    </row>
    <row r="1761" spans="3:16" x14ac:dyDescent="0.25">
      <c r="D1761" s="3" t="s">
        <v>689</v>
      </c>
      <c r="H1761" s="8">
        <v>5628522.5</v>
      </c>
      <c r="J1761" s="8">
        <v>5628522.5</v>
      </c>
      <c r="L1761" s="8">
        <v>5100000</v>
      </c>
      <c r="N1761" s="8">
        <v>0</v>
      </c>
      <c r="P1761" s="8">
        <v>528522.5</v>
      </c>
    </row>
    <row r="1762" spans="3:16" x14ac:dyDescent="0.25">
      <c r="C1762" s="3" t="s">
        <v>213</v>
      </c>
    </row>
    <row r="1763" spans="3:16" x14ac:dyDescent="0.25">
      <c r="D1763" s="3" t="s">
        <v>370</v>
      </c>
      <c r="F1763" s="7">
        <v>10702990</v>
      </c>
      <c r="H1763" s="8">
        <v>1536104.77</v>
      </c>
      <c r="J1763" s="8">
        <v>1536104.77</v>
      </c>
      <c r="L1763" s="8">
        <v>698822</v>
      </c>
      <c r="N1763" s="8">
        <v>0</v>
      </c>
      <c r="P1763" s="8">
        <v>837282.77</v>
      </c>
    </row>
    <row r="1764" spans="3:16" x14ac:dyDescent="0.25">
      <c r="C1764" s="3" t="s">
        <v>215</v>
      </c>
    </row>
    <row r="1765" spans="3:16" x14ac:dyDescent="0.25">
      <c r="D1765" s="3" t="s">
        <v>371</v>
      </c>
      <c r="F1765" s="7">
        <v>10704010</v>
      </c>
      <c r="H1765" s="8">
        <v>3000000</v>
      </c>
      <c r="J1765" s="8">
        <v>3000000</v>
      </c>
      <c r="L1765" s="8">
        <v>0</v>
      </c>
      <c r="N1765" s="8">
        <v>0</v>
      </c>
      <c r="P1765" s="8">
        <v>3000000</v>
      </c>
    </row>
    <row r="1766" spans="3:16" x14ac:dyDescent="0.25">
      <c r="E1766" s="3" t="s">
        <v>372</v>
      </c>
    </row>
    <row r="1767" spans="3:16" x14ac:dyDescent="0.25">
      <c r="C1767" s="3" t="s">
        <v>373</v>
      </c>
    </row>
    <row r="1768" spans="3:16" x14ac:dyDescent="0.25">
      <c r="D1768" s="3" t="s">
        <v>691</v>
      </c>
      <c r="F1768" s="7">
        <v>10705040</v>
      </c>
      <c r="H1768" s="8">
        <v>1000000</v>
      </c>
      <c r="J1768" s="8">
        <v>1000000</v>
      </c>
      <c r="L1768" s="8">
        <v>372702.5</v>
      </c>
      <c r="N1768" s="8">
        <v>0</v>
      </c>
      <c r="P1768" s="8">
        <v>627297.5</v>
      </c>
    </row>
    <row r="1769" spans="3:16" x14ac:dyDescent="0.25">
      <c r="C1769" s="3" t="s">
        <v>374</v>
      </c>
    </row>
    <row r="1770" spans="3:16" x14ac:dyDescent="0.25">
      <c r="D1770" s="3" t="s">
        <v>693</v>
      </c>
      <c r="F1770" s="7">
        <v>10705090</v>
      </c>
      <c r="H1770" s="8">
        <v>2000000</v>
      </c>
      <c r="J1770" s="8">
        <v>2000000</v>
      </c>
      <c r="L1770" s="8">
        <v>1823500</v>
      </c>
      <c r="N1770" s="8">
        <v>0</v>
      </c>
      <c r="P1770" s="8">
        <v>176500</v>
      </c>
    </row>
    <row r="1771" spans="3:16" x14ac:dyDescent="0.25">
      <c r="E1771" s="3" t="s">
        <v>824</v>
      </c>
    </row>
    <row r="1772" spans="3:16" x14ac:dyDescent="0.25">
      <c r="C1772" s="3" t="s">
        <v>336</v>
      </c>
      <c r="F1772" s="7">
        <v>10705140</v>
      </c>
    </row>
    <row r="1773" spans="3:16" x14ac:dyDescent="0.25">
      <c r="D1773" s="3" t="s">
        <v>692</v>
      </c>
      <c r="H1773" s="8">
        <v>1000000</v>
      </c>
      <c r="J1773" s="8">
        <v>1000000</v>
      </c>
      <c r="L1773" s="8">
        <v>650000</v>
      </c>
      <c r="N1773" s="8">
        <v>0</v>
      </c>
      <c r="P1773" s="8">
        <v>350000</v>
      </c>
    </row>
    <row r="1774" spans="3:16" x14ac:dyDescent="0.25">
      <c r="D1774" s="3" t="s">
        <v>142</v>
      </c>
      <c r="H1774" s="8">
        <v>2000000</v>
      </c>
      <c r="J1774" s="8">
        <v>2000000</v>
      </c>
      <c r="L1774" s="8">
        <v>2000000</v>
      </c>
      <c r="N1774" s="8">
        <v>0</v>
      </c>
      <c r="P1774" s="8">
        <v>0</v>
      </c>
    </row>
    <row r="1775" spans="3:16" x14ac:dyDescent="0.25">
      <c r="C1775" s="3" t="s">
        <v>216</v>
      </c>
      <c r="F1775" s="7">
        <v>10704990</v>
      </c>
    </row>
    <row r="1776" spans="3:16" x14ac:dyDescent="0.25">
      <c r="D1776" s="3" t="s">
        <v>375</v>
      </c>
    </row>
    <row r="1777" spans="2:17" x14ac:dyDescent="0.25">
      <c r="E1777" s="3" t="s">
        <v>694</v>
      </c>
      <c r="H1777" s="8">
        <v>2500000</v>
      </c>
      <c r="J1777" s="8">
        <v>2500000</v>
      </c>
      <c r="L1777" s="8">
        <v>2431834.23</v>
      </c>
      <c r="N1777" s="8">
        <v>0</v>
      </c>
      <c r="P1777" s="8">
        <v>68165.77</v>
      </c>
    </row>
    <row r="1778" spans="2:17" x14ac:dyDescent="0.25">
      <c r="E1778" s="3" t="s">
        <v>695</v>
      </c>
      <c r="H1778" s="8">
        <v>2500000</v>
      </c>
      <c r="J1778" s="8">
        <v>2500000</v>
      </c>
      <c r="L1778" s="8">
        <v>2281800.02</v>
      </c>
      <c r="N1778" s="8">
        <v>0</v>
      </c>
      <c r="P1778" s="8">
        <v>218199.98</v>
      </c>
    </row>
    <row r="1779" spans="2:17" x14ac:dyDescent="0.25">
      <c r="E1779" s="3" t="s">
        <v>696</v>
      </c>
      <c r="H1779" s="8">
        <v>2500000</v>
      </c>
      <c r="J1779" s="8">
        <v>2500000</v>
      </c>
      <c r="L1779" s="8">
        <v>2489303.84</v>
      </c>
      <c r="N1779" s="8">
        <v>0</v>
      </c>
      <c r="P1779" s="8">
        <v>10696.16</v>
      </c>
    </row>
    <row r="1780" spans="2:17" x14ac:dyDescent="0.25">
      <c r="D1780" s="3" t="s">
        <v>697</v>
      </c>
      <c r="F1780" s="7">
        <v>10704990</v>
      </c>
      <c r="H1780" s="8">
        <v>2002198</v>
      </c>
      <c r="J1780" s="8">
        <v>2002198</v>
      </c>
      <c r="L1780" s="8">
        <v>0</v>
      </c>
      <c r="N1780" s="8">
        <v>0</v>
      </c>
      <c r="P1780" s="8">
        <v>2002198</v>
      </c>
    </row>
    <row r="1781" spans="2:17" x14ac:dyDescent="0.25">
      <c r="C1781" s="3" t="s">
        <v>214</v>
      </c>
      <c r="F1781" s="7">
        <v>10703010</v>
      </c>
    </row>
    <row r="1782" spans="2:17" x14ac:dyDescent="0.25">
      <c r="E1782" s="3" t="s">
        <v>698</v>
      </c>
      <c r="H1782" s="8">
        <v>1500000</v>
      </c>
      <c r="J1782" s="8">
        <v>1500000</v>
      </c>
      <c r="L1782" s="8">
        <v>1074576.05</v>
      </c>
      <c r="N1782" s="8">
        <v>0</v>
      </c>
      <c r="P1782" s="8">
        <v>425423.95</v>
      </c>
    </row>
    <row r="1783" spans="2:17" x14ac:dyDescent="0.25">
      <c r="E1783" s="3" t="s">
        <v>699</v>
      </c>
      <c r="H1783" s="8">
        <v>700000</v>
      </c>
      <c r="J1783" s="8">
        <v>700000</v>
      </c>
      <c r="L1783" s="8">
        <v>589783.63</v>
      </c>
      <c r="N1783" s="8">
        <v>0</v>
      </c>
      <c r="P1783" s="8">
        <v>110216.37</v>
      </c>
    </row>
    <row r="1784" spans="2:17" x14ac:dyDescent="0.25">
      <c r="C1784" s="3" t="s">
        <v>376</v>
      </c>
    </row>
    <row r="1785" spans="2:17" x14ac:dyDescent="0.25">
      <c r="D1785" s="3" t="s">
        <v>700</v>
      </c>
    </row>
    <row r="1786" spans="2:17" x14ac:dyDescent="0.25">
      <c r="E1786" s="3" t="s">
        <v>701</v>
      </c>
      <c r="F1786" s="7">
        <v>10705030</v>
      </c>
      <c r="H1786" s="8">
        <v>600000</v>
      </c>
      <c r="J1786" s="8">
        <v>600000</v>
      </c>
      <c r="L1786" s="8">
        <v>585000</v>
      </c>
      <c r="N1786" s="8">
        <v>0</v>
      </c>
      <c r="P1786" s="8">
        <v>15000</v>
      </c>
    </row>
    <row r="1788" spans="2:17" x14ac:dyDescent="0.25">
      <c r="B1788" s="11" t="s">
        <v>369</v>
      </c>
      <c r="F1788" s="7">
        <v>50214030</v>
      </c>
      <c r="H1788" s="17">
        <v>21337557.050000001</v>
      </c>
      <c r="J1788" s="17">
        <v>21337557.050000001</v>
      </c>
      <c r="L1788" s="17">
        <v>21337557.050000001</v>
      </c>
      <c r="N1788" s="17">
        <f>H1788-J1788</f>
        <v>0</v>
      </c>
      <c r="P1788" s="17">
        <f>J1788-L1788</f>
        <v>0</v>
      </c>
      <c r="Q1788" s="93">
        <f>+P1788</f>
        <v>0</v>
      </c>
    </row>
    <row r="1789" spans="2:17" x14ac:dyDescent="0.25">
      <c r="Q1789" s="93">
        <f>SUM(Q1638:Q1788)</f>
        <v>0</v>
      </c>
    </row>
    <row r="1790" spans="2:17" x14ac:dyDescent="0.25">
      <c r="C1790" s="11" t="s">
        <v>377</v>
      </c>
      <c r="H1790" s="17">
        <f>+H1788+H1635</f>
        <v>82089819.769999996</v>
      </c>
      <c r="I1790" s="8" t="s">
        <v>0</v>
      </c>
      <c r="J1790" s="17">
        <f>+J1788+J1635</f>
        <v>82089819.769999996</v>
      </c>
      <c r="K1790" s="8" t="s">
        <v>0</v>
      </c>
      <c r="L1790" s="17">
        <f>+L1788+L1635</f>
        <v>73720316.769999996</v>
      </c>
      <c r="M1790" s="8" t="s">
        <v>0</v>
      </c>
      <c r="N1790" s="17">
        <f>+N1788+N1635</f>
        <v>0</v>
      </c>
      <c r="O1790" s="8" t="s">
        <v>0</v>
      </c>
      <c r="P1790" s="17">
        <f>+P1788+P1635</f>
        <v>8369503</v>
      </c>
    </row>
    <row r="1792" spans="2:17" x14ac:dyDescent="0.25">
      <c r="B1792" s="11" t="s">
        <v>378</v>
      </c>
    </row>
    <row r="1793" spans="2:16" x14ac:dyDescent="0.25">
      <c r="B1793" s="11" t="s">
        <v>160</v>
      </c>
      <c r="F1793" s="7">
        <v>100</v>
      </c>
      <c r="H1793" s="17">
        <f>SUM(H1794:H1797)</f>
        <v>21472479.590000004</v>
      </c>
      <c r="J1793" s="17">
        <f>SUM(J1794:J1797)</f>
        <v>21472479.590000004</v>
      </c>
      <c r="L1793" s="17">
        <f>SUM(L1794:L1797)</f>
        <v>18862996.109999999</v>
      </c>
      <c r="N1793" s="17">
        <f>SUM(N1794:N1797)</f>
        <v>0</v>
      </c>
      <c r="P1793" s="17">
        <f>SUM(P1794:P1797)</f>
        <v>2609483.4800000023</v>
      </c>
    </row>
    <row r="1794" spans="2:16" x14ac:dyDescent="0.25">
      <c r="D1794" s="3" t="s">
        <v>15</v>
      </c>
      <c r="F1794" s="7">
        <v>50103030</v>
      </c>
      <c r="H1794" s="8">
        <v>614411</v>
      </c>
      <c r="J1794" s="8">
        <v>614411</v>
      </c>
      <c r="L1794" s="8">
        <v>92573.97</v>
      </c>
      <c r="N1794" s="8">
        <v>0</v>
      </c>
      <c r="P1794" s="8">
        <v>521837.03</v>
      </c>
    </row>
    <row r="1795" spans="2:16" x14ac:dyDescent="0.25">
      <c r="D1795" s="3" t="s">
        <v>143</v>
      </c>
      <c r="F1795" s="7">
        <v>50104030</v>
      </c>
      <c r="H1795" s="8">
        <v>589398.92000000004</v>
      </c>
      <c r="J1795" s="8">
        <v>589398.92000000004</v>
      </c>
      <c r="L1795" s="8">
        <v>391531.89</v>
      </c>
      <c r="N1795" s="8">
        <v>0</v>
      </c>
      <c r="P1795" s="8">
        <v>197867.03</v>
      </c>
    </row>
    <row r="1796" spans="2:16" x14ac:dyDescent="0.25">
      <c r="D1796" s="3" t="s">
        <v>144</v>
      </c>
      <c r="F1796" s="7">
        <v>50104990</v>
      </c>
      <c r="H1796" s="8">
        <v>3000000</v>
      </c>
      <c r="J1796" s="8">
        <v>3000000</v>
      </c>
      <c r="L1796" s="8">
        <v>1770088.57</v>
      </c>
      <c r="N1796" s="8">
        <v>0</v>
      </c>
      <c r="P1796" s="8">
        <v>1229911.43</v>
      </c>
    </row>
    <row r="1797" spans="2:16" x14ac:dyDescent="0.25">
      <c r="D1797" s="3" t="s">
        <v>145</v>
      </c>
      <c r="F1797" s="7">
        <v>50104990</v>
      </c>
      <c r="H1797" s="8">
        <v>17268669.670000002</v>
      </c>
      <c r="J1797" s="8">
        <v>17268669.670000002</v>
      </c>
      <c r="L1797" s="8">
        <v>16608801.68</v>
      </c>
      <c r="N1797" s="8">
        <v>0</v>
      </c>
      <c r="P1797" s="8">
        <f>+J1797-L1797</f>
        <v>659867.99000000209</v>
      </c>
    </row>
    <row r="1799" spans="2:16" x14ac:dyDescent="0.25">
      <c r="C1799" s="11" t="s">
        <v>379</v>
      </c>
      <c r="H1799" s="17">
        <f>+H1793</f>
        <v>21472479.590000004</v>
      </c>
      <c r="I1799" s="8" t="s">
        <v>0</v>
      </c>
      <c r="J1799" s="17">
        <f>+J1793</f>
        <v>21472479.590000004</v>
      </c>
      <c r="K1799" s="8" t="s">
        <v>0</v>
      </c>
      <c r="L1799" s="17">
        <f>+L1793</f>
        <v>18862996.109999999</v>
      </c>
      <c r="M1799" s="8" t="s">
        <v>0</v>
      </c>
      <c r="N1799" s="17">
        <f>+N1793</f>
        <v>0</v>
      </c>
      <c r="O1799" s="8" t="s">
        <v>0</v>
      </c>
      <c r="P1799" s="17">
        <f>+P1793</f>
        <v>2609483.4800000023</v>
      </c>
    </row>
    <row r="1801" spans="2:16" x14ac:dyDescent="0.25">
      <c r="B1801" s="11" t="s">
        <v>380</v>
      </c>
    </row>
    <row r="1802" spans="2:16" x14ac:dyDescent="0.25">
      <c r="B1802" s="11" t="s">
        <v>269</v>
      </c>
    </row>
    <row r="1803" spans="2:16" x14ac:dyDescent="0.25">
      <c r="C1803" s="3" t="s">
        <v>146</v>
      </c>
      <c r="F1803" s="7">
        <v>50214030</v>
      </c>
      <c r="H1803" s="8">
        <v>1175000</v>
      </c>
      <c r="J1803" s="8">
        <v>1175000</v>
      </c>
      <c r="L1803" s="8">
        <v>1175000</v>
      </c>
      <c r="N1803" s="8">
        <v>0</v>
      </c>
      <c r="P1803" s="8">
        <v>0</v>
      </c>
    </row>
    <row r="1805" spans="2:16" x14ac:dyDescent="0.25">
      <c r="C1805" s="11" t="s">
        <v>381</v>
      </c>
      <c r="H1805" s="17">
        <v>1175000</v>
      </c>
      <c r="J1805" s="17">
        <v>1175000</v>
      </c>
      <c r="L1805" s="17">
        <v>1175000</v>
      </c>
      <c r="N1805" s="17">
        <v>0</v>
      </c>
      <c r="P1805" s="17">
        <v>0</v>
      </c>
    </row>
    <row r="1807" spans="2:16" x14ac:dyDescent="0.25">
      <c r="C1807" s="11" t="s">
        <v>382</v>
      </c>
      <c r="H1807" s="17">
        <f>+H1809+H1857+H1863</f>
        <v>49616590.230000004</v>
      </c>
      <c r="J1807" s="17">
        <f>+J1809+J1857+J1863</f>
        <v>16690000</v>
      </c>
      <c r="L1807" s="17">
        <f>+L1809+L1857+L1863</f>
        <v>189555</v>
      </c>
      <c r="N1807" s="17">
        <f>+N1809+N1857+N1863</f>
        <v>32926590.23</v>
      </c>
      <c r="P1807" s="17">
        <f>+P1809+P1857+P1863</f>
        <v>16500445</v>
      </c>
    </row>
    <row r="1809" spans="2:16" x14ac:dyDescent="0.25">
      <c r="C1809" s="11" t="s">
        <v>156</v>
      </c>
      <c r="H1809" s="17">
        <f>+H1811+H1834+H1838+H1844+H1855</f>
        <v>49416590.230000004</v>
      </c>
      <c r="J1809" s="17">
        <f>+J1811+J1834+J1838+J1844+J1855</f>
        <v>16590000</v>
      </c>
      <c r="L1809" s="17">
        <f>+L1811+L1834+L1838+L1844+L1855</f>
        <v>89580</v>
      </c>
      <c r="N1809" s="17">
        <f>+N1811+N1834+N1838+N1844+N1855</f>
        <v>32826590.23</v>
      </c>
      <c r="P1809" s="17">
        <f>+P1811+P1834+P1838+P1844+P1855</f>
        <v>16500420</v>
      </c>
    </row>
    <row r="1811" spans="2:16" x14ac:dyDescent="0.25">
      <c r="B1811" s="11" t="s">
        <v>383</v>
      </c>
      <c r="F1811" s="7">
        <v>1011</v>
      </c>
      <c r="H1811" s="17">
        <f>SUM(H1812:H1831)</f>
        <v>8466590.2300000004</v>
      </c>
      <c r="J1811" s="17">
        <f>SUM(J1812:J1831)</f>
        <v>90000</v>
      </c>
      <c r="L1811" s="17">
        <f>SUM(L1812:L1831)</f>
        <v>89580</v>
      </c>
      <c r="N1811" s="17">
        <f>SUM(N1812:N1831)</f>
        <v>8376590.2300000004</v>
      </c>
      <c r="P1811" s="17">
        <f>SUM(P1812:P1831)</f>
        <v>420</v>
      </c>
    </row>
    <row r="1812" spans="2:16" x14ac:dyDescent="0.25">
      <c r="C1812" s="3" t="s">
        <v>384</v>
      </c>
      <c r="F1812" s="7">
        <v>10702010</v>
      </c>
    </row>
    <row r="1813" spans="2:16" x14ac:dyDescent="0.25">
      <c r="D1813" s="3" t="s">
        <v>702</v>
      </c>
      <c r="H1813" s="8">
        <v>1110000</v>
      </c>
      <c r="J1813" s="3"/>
      <c r="L1813" s="8">
        <v>0</v>
      </c>
      <c r="N1813" s="8">
        <v>1110000</v>
      </c>
      <c r="P1813" s="3"/>
    </row>
    <row r="1814" spans="2:16" x14ac:dyDescent="0.25">
      <c r="D1814" s="3" t="s">
        <v>703</v>
      </c>
      <c r="H1814" s="8">
        <v>317368</v>
      </c>
      <c r="J1814" s="3"/>
      <c r="L1814" s="8">
        <v>0</v>
      </c>
      <c r="N1814" s="8">
        <v>317368</v>
      </c>
      <c r="P1814" s="3"/>
    </row>
    <row r="1815" spans="2:16" x14ac:dyDescent="0.25">
      <c r="C1815" s="3" t="s">
        <v>215</v>
      </c>
      <c r="J1815" s="3"/>
      <c r="P1815" s="3"/>
    </row>
    <row r="1816" spans="2:16" x14ac:dyDescent="0.25">
      <c r="D1816" s="3" t="s">
        <v>704</v>
      </c>
      <c r="F1816" s="7">
        <v>10704010</v>
      </c>
      <c r="H1816" s="8">
        <v>2690000</v>
      </c>
      <c r="J1816" s="3"/>
      <c r="L1816" s="8">
        <v>0</v>
      </c>
      <c r="N1816" s="8">
        <v>2690000</v>
      </c>
      <c r="P1816" s="3"/>
    </row>
    <row r="1817" spans="2:16" x14ac:dyDescent="0.25">
      <c r="C1817" s="3" t="s">
        <v>127</v>
      </c>
      <c r="F1817" s="7">
        <v>10705020</v>
      </c>
    </row>
    <row r="1818" spans="2:16" x14ac:dyDescent="0.25">
      <c r="D1818" s="3" t="s">
        <v>705</v>
      </c>
      <c r="H1818" s="8">
        <v>80000</v>
      </c>
      <c r="J1818" s="8">
        <v>80000</v>
      </c>
      <c r="L1818" s="8">
        <v>79980</v>
      </c>
      <c r="N1818" s="8">
        <v>0</v>
      </c>
      <c r="P1818" s="8">
        <f>+J1818-L1818</f>
        <v>20</v>
      </c>
    </row>
    <row r="1819" spans="2:16" x14ac:dyDescent="0.25">
      <c r="D1819" s="3" t="s">
        <v>706</v>
      </c>
      <c r="H1819" s="8">
        <v>15000</v>
      </c>
      <c r="J1819" s="3"/>
      <c r="L1819" s="8">
        <v>0</v>
      </c>
      <c r="N1819" s="8">
        <v>15000</v>
      </c>
      <c r="P1819" s="3"/>
    </row>
    <row r="1820" spans="2:16" x14ac:dyDescent="0.25">
      <c r="D1820" s="3" t="s">
        <v>707</v>
      </c>
      <c r="H1820" s="8">
        <v>104222.23</v>
      </c>
      <c r="J1820" s="3"/>
      <c r="L1820" s="8">
        <v>0</v>
      </c>
      <c r="N1820" s="8">
        <v>104222.23</v>
      </c>
      <c r="P1820" s="3"/>
    </row>
    <row r="1821" spans="2:16" x14ac:dyDescent="0.25">
      <c r="D1821" s="3" t="s">
        <v>708</v>
      </c>
      <c r="H1821" s="8">
        <v>10000</v>
      </c>
      <c r="J1821" s="8">
        <v>10000</v>
      </c>
      <c r="L1821" s="8">
        <v>9600</v>
      </c>
      <c r="N1821" s="8">
        <v>0</v>
      </c>
      <c r="P1821" s="8">
        <f>+J1821-L1821</f>
        <v>400</v>
      </c>
    </row>
    <row r="1822" spans="2:16" x14ac:dyDescent="0.25">
      <c r="C1822" s="3" t="s">
        <v>260</v>
      </c>
      <c r="F1822" s="7">
        <v>10705030</v>
      </c>
    </row>
    <row r="1823" spans="2:16" x14ac:dyDescent="0.25">
      <c r="D1823" s="3" t="s">
        <v>709</v>
      </c>
      <c r="H1823" s="8">
        <v>90000</v>
      </c>
      <c r="J1823" s="3"/>
      <c r="L1823" s="8">
        <v>0</v>
      </c>
      <c r="N1823" s="8">
        <v>90000</v>
      </c>
      <c r="P1823" s="3"/>
    </row>
    <row r="1824" spans="2:16" x14ac:dyDescent="0.25">
      <c r="D1824" s="3" t="s">
        <v>710</v>
      </c>
      <c r="H1824" s="8">
        <v>40000</v>
      </c>
      <c r="J1824" s="3"/>
      <c r="L1824" s="8">
        <v>0</v>
      </c>
      <c r="N1824" s="8">
        <v>40000</v>
      </c>
      <c r="P1824" s="3"/>
    </row>
    <row r="1825" spans="2:16" x14ac:dyDescent="0.25">
      <c r="C1825" s="3" t="s">
        <v>217</v>
      </c>
    </row>
    <row r="1826" spans="2:16" x14ac:dyDescent="0.25">
      <c r="D1826" s="3" t="s">
        <v>711</v>
      </c>
      <c r="F1826" s="7">
        <v>10705100</v>
      </c>
      <c r="H1826" s="8">
        <v>500000</v>
      </c>
      <c r="J1826" s="3"/>
      <c r="L1826" s="8">
        <v>0</v>
      </c>
      <c r="N1826" s="8">
        <v>500000</v>
      </c>
      <c r="P1826" s="3"/>
    </row>
    <row r="1827" spans="2:16" x14ac:dyDescent="0.25">
      <c r="C1827" s="3" t="s">
        <v>62</v>
      </c>
      <c r="F1827" s="7">
        <v>10707010</v>
      </c>
      <c r="J1827" s="3"/>
      <c r="P1827" s="3"/>
    </row>
    <row r="1828" spans="2:16" x14ac:dyDescent="0.25">
      <c r="D1828" s="3" t="s">
        <v>712</v>
      </c>
      <c r="H1828" s="8">
        <v>3000000</v>
      </c>
      <c r="J1828" s="3"/>
      <c r="L1828" s="8">
        <v>0</v>
      </c>
      <c r="N1828" s="8">
        <v>3000000</v>
      </c>
      <c r="P1828" s="3"/>
    </row>
    <row r="1829" spans="2:16" x14ac:dyDescent="0.25">
      <c r="D1829" s="3" t="s">
        <v>713</v>
      </c>
      <c r="H1829" s="8">
        <v>300000</v>
      </c>
      <c r="J1829" s="3"/>
      <c r="L1829" s="8">
        <v>0</v>
      </c>
      <c r="N1829" s="8">
        <v>300000</v>
      </c>
      <c r="P1829" s="3"/>
    </row>
    <row r="1830" spans="2:16" x14ac:dyDescent="0.25">
      <c r="D1830" s="3" t="s">
        <v>714</v>
      </c>
      <c r="H1830" s="8">
        <v>200000</v>
      </c>
      <c r="J1830" s="3"/>
      <c r="L1830" s="8">
        <v>0</v>
      </c>
      <c r="N1830" s="8">
        <v>200000</v>
      </c>
      <c r="P1830" s="3"/>
    </row>
    <row r="1831" spans="2:16" x14ac:dyDescent="0.25">
      <c r="D1831" s="3" t="s">
        <v>715</v>
      </c>
      <c r="H1831" s="8">
        <v>10000</v>
      </c>
      <c r="J1831" s="3"/>
      <c r="L1831" s="8">
        <v>0</v>
      </c>
      <c r="N1831" s="8">
        <v>10000</v>
      </c>
      <c r="P1831" s="3"/>
    </row>
    <row r="1832" spans="2:16" x14ac:dyDescent="0.25">
      <c r="J1832" s="3"/>
      <c r="P1832" s="3"/>
    </row>
    <row r="1833" spans="2:16" x14ac:dyDescent="0.25">
      <c r="B1833" s="11" t="s">
        <v>385</v>
      </c>
      <c r="F1833" s="7" t="s">
        <v>224</v>
      </c>
    </row>
    <row r="1834" spans="2:16" x14ac:dyDescent="0.25">
      <c r="B1834" s="3" t="s">
        <v>386</v>
      </c>
      <c r="F1834" s="7">
        <v>10705990</v>
      </c>
      <c r="H1834" s="17">
        <f>SUM(H1835:H1836)</f>
        <v>575000</v>
      </c>
      <c r="J1834" s="17">
        <f>SUM(J1835:J1836)</f>
        <v>0</v>
      </c>
      <c r="L1834" s="17">
        <f>SUM(L1835:L1836)</f>
        <v>0</v>
      </c>
      <c r="N1834" s="17">
        <f>SUM(N1835:N1836)</f>
        <v>575000</v>
      </c>
      <c r="P1834" s="17">
        <f>SUM(P1835:P1836)</f>
        <v>0</v>
      </c>
    </row>
    <row r="1835" spans="2:16" x14ac:dyDescent="0.25">
      <c r="D1835" s="3" t="s">
        <v>716</v>
      </c>
      <c r="H1835" s="8">
        <v>25000</v>
      </c>
      <c r="L1835" s="8">
        <v>0</v>
      </c>
      <c r="N1835" s="8">
        <v>25000</v>
      </c>
    </row>
    <row r="1836" spans="2:16" x14ac:dyDescent="0.25">
      <c r="D1836" s="3" t="s">
        <v>717</v>
      </c>
      <c r="H1836" s="8">
        <v>550000</v>
      </c>
      <c r="L1836" s="8">
        <v>0</v>
      </c>
      <c r="N1836" s="8">
        <v>550000</v>
      </c>
    </row>
    <row r="1838" spans="2:16" x14ac:dyDescent="0.25">
      <c r="B1838" s="11" t="s">
        <v>387</v>
      </c>
      <c r="F1838" s="7" t="s">
        <v>231</v>
      </c>
      <c r="H1838" s="17">
        <f>+H1840+H1842</f>
        <v>40000000</v>
      </c>
      <c r="J1838" s="17">
        <f>+J1840+J1842</f>
        <v>16500000</v>
      </c>
      <c r="L1838" s="17">
        <f>+L1840+L1842</f>
        <v>0</v>
      </c>
      <c r="N1838" s="17">
        <f>+N1840+N1842</f>
        <v>23500000</v>
      </c>
      <c r="P1838" s="17">
        <f>+P1840+P1842</f>
        <v>16500000</v>
      </c>
    </row>
    <row r="1839" spans="2:16" x14ac:dyDescent="0.25">
      <c r="B1839" s="11"/>
      <c r="C1839" s="3" t="s">
        <v>215</v>
      </c>
    </row>
    <row r="1840" spans="2:16" x14ac:dyDescent="0.25">
      <c r="D1840" s="3" t="s">
        <v>528</v>
      </c>
      <c r="F1840" s="7">
        <v>10704010</v>
      </c>
      <c r="H1840" s="8">
        <v>23500000</v>
      </c>
      <c r="J1840" s="3"/>
      <c r="L1840" s="8">
        <v>0</v>
      </c>
      <c r="N1840" s="8">
        <v>23500000</v>
      </c>
      <c r="P1840" s="3"/>
    </row>
    <row r="1841" spans="2:16" x14ac:dyDescent="0.25">
      <c r="C1841" s="3" t="s">
        <v>62</v>
      </c>
      <c r="J1841" s="3"/>
      <c r="P1841" s="3"/>
    </row>
    <row r="1842" spans="2:16" x14ac:dyDescent="0.25">
      <c r="D1842" s="3" t="s">
        <v>718</v>
      </c>
      <c r="F1842" s="7">
        <v>10707010</v>
      </c>
      <c r="H1842" s="8">
        <v>16500000</v>
      </c>
      <c r="J1842" s="8">
        <v>16500000</v>
      </c>
      <c r="L1842" s="8">
        <v>0</v>
      </c>
      <c r="N1842" s="8">
        <v>0</v>
      </c>
      <c r="P1842" s="93">
        <f>+J1842-L1842</f>
        <v>16500000</v>
      </c>
    </row>
    <row r="1844" spans="2:16" x14ac:dyDescent="0.25">
      <c r="B1844" s="11" t="s">
        <v>388</v>
      </c>
      <c r="F1844" s="7" t="s">
        <v>249</v>
      </c>
      <c r="H1844" s="17">
        <f>SUM(H1846:H1852)</f>
        <v>370000</v>
      </c>
      <c r="J1844" s="17">
        <f>SUM(J1846:J1852)</f>
        <v>0</v>
      </c>
      <c r="L1844" s="17">
        <f>SUM(L1846:L1852)</f>
        <v>0</v>
      </c>
      <c r="N1844" s="17">
        <f>SUM(N1846:N1852)</f>
        <v>370000</v>
      </c>
      <c r="P1844" s="17">
        <f>SUM(P1846:P1852)</f>
        <v>0</v>
      </c>
    </row>
    <row r="1845" spans="2:16" x14ac:dyDescent="0.25">
      <c r="C1845" s="3" t="s">
        <v>216</v>
      </c>
      <c r="J1845" s="3"/>
      <c r="P1845" s="13"/>
    </row>
    <row r="1846" spans="2:16" x14ac:dyDescent="0.25">
      <c r="D1846" s="3" t="s">
        <v>719</v>
      </c>
      <c r="F1846" s="7">
        <v>10704990</v>
      </c>
      <c r="H1846" s="8">
        <v>100000</v>
      </c>
      <c r="J1846" s="3"/>
      <c r="L1846" s="8">
        <v>0</v>
      </c>
      <c r="N1846" s="8">
        <v>100000</v>
      </c>
      <c r="P1846" s="3"/>
    </row>
    <row r="1847" spans="2:16" x14ac:dyDescent="0.25">
      <c r="C1847" s="3" t="s">
        <v>260</v>
      </c>
      <c r="F1847" s="7">
        <v>10705030</v>
      </c>
      <c r="J1847" s="3"/>
      <c r="P1847" s="3"/>
    </row>
    <row r="1848" spans="2:16" x14ac:dyDescent="0.25">
      <c r="D1848" s="3" t="s">
        <v>260</v>
      </c>
      <c r="H1848" s="8">
        <v>90000</v>
      </c>
      <c r="J1848" s="3"/>
      <c r="L1848" s="8">
        <v>0</v>
      </c>
      <c r="N1848" s="8">
        <v>90000</v>
      </c>
      <c r="P1848" s="3"/>
    </row>
    <row r="1849" spans="2:16" x14ac:dyDescent="0.25">
      <c r="D1849" s="3" t="s">
        <v>720</v>
      </c>
      <c r="H1849" s="8">
        <v>10000</v>
      </c>
      <c r="J1849" s="3"/>
      <c r="L1849" s="8">
        <v>0</v>
      </c>
      <c r="N1849" s="8">
        <v>10000</v>
      </c>
      <c r="P1849" s="3"/>
    </row>
    <row r="1850" spans="2:16" x14ac:dyDescent="0.25">
      <c r="C1850" s="3" t="s">
        <v>386</v>
      </c>
      <c r="F1850" s="7">
        <v>10705990</v>
      </c>
      <c r="J1850" s="3"/>
      <c r="P1850" s="3"/>
    </row>
    <row r="1851" spans="2:16" x14ac:dyDescent="0.25">
      <c r="D1851" s="3" t="s">
        <v>721</v>
      </c>
      <c r="H1851" s="8">
        <v>50000</v>
      </c>
      <c r="J1851" s="3"/>
      <c r="L1851" s="8">
        <v>0</v>
      </c>
      <c r="N1851" s="8">
        <v>50000</v>
      </c>
      <c r="P1851" s="3"/>
    </row>
    <row r="1852" spans="2:16" x14ac:dyDescent="0.25">
      <c r="D1852" s="3" t="s">
        <v>722</v>
      </c>
      <c r="H1852" s="8">
        <v>120000</v>
      </c>
      <c r="J1852" s="3"/>
      <c r="L1852" s="8">
        <v>0</v>
      </c>
      <c r="N1852" s="96">
        <v>120000</v>
      </c>
      <c r="P1852" s="3"/>
    </row>
    <row r="1854" spans="2:16" x14ac:dyDescent="0.25">
      <c r="B1854" s="11" t="s">
        <v>389</v>
      </c>
      <c r="F1854" s="7" t="s">
        <v>262</v>
      </c>
    </row>
    <row r="1855" spans="2:16" x14ac:dyDescent="0.25">
      <c r="D1855" s="3" t="s">
        <v>723</v>
      </c>
      <c r="F1855" s="7">
        <v>10707010</v>
      </c>
      <c r="H1855" s="17">
        <v>5000</v>
      </c>
      <c r="J1855" s="17">
        <v>0</v>
      </c>
      <c r="L1855" s="17">
        <v>0</v>
      </c>
      <c r="N1855" s="17">
        <v>5000</v>
      </c>
      <c r="O1855" s="3"/>
      <c r="P1855" s="101"/>
    </row>
    <row r="1857" spans="2:16" x14ac:dyDescent="0.25">
      <c r="B1857" s="11" t="s">
        <v>390</v>
      </c>
      <c r="F1857" s="7" t="s">
        <v>391</v>
      </c>
      <c r="H1857" s="17">
        <f>+H1861</f>
        <v>100000</v>
      </c>
      <c r="J1857" s="17">
        <f>+J1861</f>
        <v>0</v>
      </c>
      <c r="L1857" s="17">
        <f>+L1861</f>
        <v>0</v>
      </c>
      <c r="N1857" s="17">
        <f>+N1861</f>
        <v>100000</v>
      </c>
      <c r="P1857" s="17">
        <f>+P1861</f>
        <v>0</v>
      </c>
    </row>
    <row r="1859" spans="2:16" x14ac:dyDescent="0.25">
      <c r="B1859" s="11" t="s">
        <v>392</v>
      </c>
      <c r="F1859" s="7" t="s">
        <v>299</v>
      </c>
    </row>
    <row r="1860" spans="2:16" x14ac:dyDescent="0.25">
      <c r="C1860" s="3" t="s">
        <v>393</v>
      </c>
    </row>
    <row r="1861" spans="2:16" x14ac:dyDescent="0.25">
      <c r="D1861" s="3" t="s">
        <v>724</v>
      </c>
      <c r="F1861" s="7">
        <v>10601010</v>
      </c>
      <c r="H1861" s="17">
        <v>100000</v>
      </c>
      <c r="J1861" s="17">
        <v>0</v>
      </c>
      <c r="L1861" s="17">
        <v>0</v>
      </c>
      <c r="N1861" s="17">
        <v>100000</v>
      </c>
      <c r="O1861" s="3"/>
      <c r="P1861" s="101"/>
    </row>
    <row r="1863" spans="2:16" x14ac:dyDescent="0.25">
      <c r="B1863" s="11" t="s">
        <v>320</v>
      </c>
      <c r="F1863" s="7" t="s">
        <v>394</v>
      </c>
      <c r="H1863" s="17">
        <f>+H1867</f>
        <v>100000</v>
      </c>
      <c r="J1863" s="17">
        <f>+J1867</f>
        <v>100000</v>
      </c>
      <c r="L1863" s="17">
        <f>+L1867</f>
        <v>99975</v>
      </c>
      <c r="N1863" s="17">
        <f>+N1867</f>
        <v>0</v>
      </c>
      <c r="P1863" s="17">
        <f>+P1867</f>
        <v>25</v>
      </c>
    </row>
    <row r="1864" spans="2:16" x14ac:dyDescent="0.25">
      <c r="B1864" s="11"/>
    </row>
    <row r="1865" spans="2:16" x14ac:dyDescent="0.25">
      <c r="B1865" s="11" t="s">
        <v>828</v>
      </c>
      <c r="F1865" s="7" t="s">
        <v>326</v>
      </c>
    </row>
    <row r="1866" spans="2:16" x14ac:dyDescent="0.25">
      <c r="C1866" s="3" t="s">
        <v>373</v>
      </c>
    </row>
    <row r="1867" spans="2:16" x14ac:dyDescent="0.25">
      <c r="D1867" s="3" t="s">
        <v>725</v>
      </c>
      <c r="F1867" s="7">
        <v>10705040</v>
      </c>
      <c r="H1867" s="17">
        <v>100000</v>
      </c>
      <c r="J1867" s="17">
        <v>100000</v>
      </c>
      <c r="L1867" s="17">
        <v>99975</v>
      </c>
      <c r="N1867" s="17">
        <v>0</v>
      </c>
      <c r="P1867" s="17">
        <v>25</v>
      </c>
    </row>
    <row r="1874" spans="12:15" x14ac:dyDescent="0.25">
      <c r="L1874" s="108" t="s">
        <v>395</v>
      </c>
      <c r="M1874" s="108"/>
      <c r="N1874" s="108"/>
      <c r="O1874" s="108"/>
    </row>
    <row r="1875" spans="12:15" x14ac:dyDescent="0.25">
      <c r="L1875" s="108" t="s">
        <v>396</v>
      </c>
      <c r="M1875" s="108"/>
      <c r="N1875" s="108"/>
      <c r="O1875" s="108"/>
    </row>
    <row r="1891" spans="4:16" x14ac:dyDescent="0.25">
      <c r="D1891" s="22" t="s">
        <v>397</v>
      </c>
      <c r="E1891" s="23"/>
      <c r="F1891" s="24"/>
      <c r="G1891" s="25"/>
      <c r="H1891" s="26"/>
      <c r="I1891" s="25"/>
      <c r="J1891" s="27"/>
      <c r="K1891" s="28"/>
      <c r="L1891" s="29"/>
      <c r="M1891" s="28"/>
      <c r="N1891" s="29"/>
      <c r="O1891" s="25"/>
      <c r="P1891" s="26"/>
    </row>
    <row r="1892" spans="4:16" x14ac:dyDescent="0.25">
      <c r="D1892" s="30"/>
      <c r="E1892" s="31"/>
      <c r="F1892" s="32"/>
      <c r="G1892" s="91"/>
      <c r="H1892" s="33"/>
      <c r="I1892" s="91"/>
      <c r="J1892" s="92"/>
      <c r="K1892" s="34"/>
      <c r="L1892" s="35"/>
      <c r="M1892" s="109" t="s">
        <v>398</v>
      </c>
      <c r="N1892" s="110"/>
      <c r="O1892" s="109" t="s">
        <v>398</v>
      </c>
      <c r="P1892" s="111"/>
    </row>
    <row r="1893" spans="4:16" x14ac:dyDescent="0.25">
      <c r="D1893" s="112" t="s">
        <v>399</v>
      </c>
      <c r="E1893" s="113"/>
      <c r="F1893" s="114"/>
      <c r="G1893" s="112" t="s">
        <v>3</v>
      </c>
      <c r="H1893" s="114"/>
      <c r="I1893" s="115" t="s">
        <v>400</v>
      </c>
      <c r="J1893" s="116"/>
      <c r="K1893" s="112" t="s">
        <v>5</v>
      </c>
      <c r="L1893" s="114"/>
      <c r="M1893" s="112" t="s">
        <v>3</v>
      </c>
      <c r="N1893" s="113"/>
      <c r="O1893" s="112" t="s">
        <v>4</v>
      </c>
      <c r="P1893" s="114"/>
    </row>
    <row r="1894" spans="4:16" x14ac:dyDescent="0.25">
      <c r="D1894" s="28"/>
      <c r="E1894" s="36"/>
      <c r="F1894" s="37"/>
      <c r="G1894" s="38"/>
      <c r="H1894" s="39"/>
      <c r="I1894" s="91"/>
      <c r="J1894" s="92"/>
      <c r="K1894" s="40"/>
      <c r="L1894" s="41"/>
      <c r="M1894" s="40"/>
      <c r="N1894" s="41"/>
      <c r="O1894" s="91"/>
      <c r="P1894" s="42"/>
    </row>
    <row r="1895" spans="4:16" x14ac:dyDescent="0.25">
      <c r="D1895" s="43" t="s">
        <v>401</v>
      </c>
      <c r="E1895" s="31"/>
      <c r="F1895" s="32"/>
      <c r="G1895" s="30"/>
      <c r="H1895" s="33">
        <v>1828054763</v>
      </c>
      <c r="I1895" s="30"/>
      <c r="J1895" s="33">
        <f>+J14-J1898-J1899-J1900-J1907-J1908-J1905-J1906-J1903-J1904-J1901</f>
        <v>1825999212.99</v>
      </c>
      <c r="K1895" s="30"/>
      <c r="L1895" s="33">
        <f>L14-L1898-L1899-L1900-L1907-L1908-L1901</f>
        <v>1689447192.46</v>
      </c>
      <c r="M1895" s="30"/>
      <c r="N1895" s="35">
        <f>+H1895-J1895</f>
        <v>2055550.0099999905</v>
      </c>
      <c r="O1895" s="30"/>
      <c r="P1895" s="33">
        <f>+J1895-L1895</f>
        <v>136552020.52999997</v>
      </c>
    </row>
    <row r="1896" spans="4:16" x14ac:dyDescent="0.25">
      <c r="D1896" s="44" t="s">
        <v>402</v>
      </c>
      <c r="E1896" s="31"/>
      <c r="F1896" s="32"/>
      <c r="G1896" s="44"/>
      <c r="H1896" s="33">
        <f>+H1807</f>
        <v>49616590.230000004</v>
      </c>
      <c r="I1896" s="44"/>
      <c r="J1896" s="33">
        <f>+J1807</f>
        <v>16690000</v>
      </c>
      <c r="K1896" s="34"/>
      <c r="L1896" s="33">
        <f>+L1807</f>
        <v>189555</v>
      </c>
      <c r="M1896" s="34"/>
      <c r="N1896" s="33">
        <f>+N1807</f>
        <v>32926590.23</v>
      </c>
      <c r="O1896" s="44"/>
      <c r="P1896" s="33">
        <f>+P1807</f>
        <v>16500445</v>
      </c>
    </row>
    <row r="1897" spans="4:16" x14ac:dyDescent="0.25">
      <c r="D1897" s="44" t="s">
        <v>403</v>
      </c>
      <c r="E1897" s="31"/>
      <c r="F1897" s="32"/>
      <c r="G1897" s="44"/>
      <c r="H1897" s="33"/>
      <c r="I1897" s="44"/>
      <c r="J1897" s="45"/>
      <c r="K1897" s="30"/>
      <c r="L1897" s="46"/>
      <c r="M1897" s="30"/>
      <c r="N1897" s="46"/>
      <c r="O1897" s="44"/>
      <c r="P1897" s="33"/>
    </row>
    <row r="1898" spans="4:16" x14ac:dyDescent="0.25">
      <c r="D1898" s="44" t="s">
        <v>404</v>
      </c>
      <c r="E1898" s="31"/>
      <c r="F1898" s="32"/>
      <c r="G1898" s="44"/>
      <c r="H1898" s="33">
        <v>37454801.439999998</v>
      </c>
      <c r="I1898" s="44"/>
      <c r="J1898" s="33">
        <v>37454801.439999998</v>
      </c>
      <c r="K1898" s="30"/>
      <c r="L1898" s="33">
        <v>21625256.48</v>
      </c>
      <c r="M1898" s="30"/>
      <c r="N1898" s="33">
        <v>0</v>
      </c>
      <c r="O1898" s="44"/>
      <c r="P1898" s="33">
        <f>+J1898-L1898</f>
        <v>15829544.959999997</v>
      </c>
    </row>
    <row r="1899" spans="4:16" x14ac:dyDescent="0.25">
      <c r="D1899" s="44" t="s">
        <v>405</v>
      </c>
      <c r="E1899" s="31"/>
      <c r="F1899" s="32"/>
      <c r="G1899" s="44"/>
      <c r="H1899" s="33">
        <v>27027654.379999999</v>
      </c>
      <c r="I1899" s="44"/>
      <c r="J1899" s="33">
        <v>27027654.379999999</v>
      </c>
      <c r="K1899" s="30"/>
      <c r="L1899" s="33">
        <v>19356249.109999999</v>
      </c>
      <c r="M1899" s="30"/>
      <c r="N1899" s="33">
        <v>0</v>
      </c>
      <c r="O1899" s="44"/>
      <c r="P1899" s="33">
        <f t="shared" ref="P1899:P1901" si="19">+J1899-L1899</f>
        <v>7671405.2699999996</v>
      </c>
    </row>
    <row r="1900" spans="4:16" x14ac:dyDescent="0.25">
      <c r="D1900" s="44" t="s">
        <v>406</v>
      </c>
      <c r="E1900" s="31"/>
      <c r="F1900" s="32"/>
      <c r="G1900" s="44"/>
      <c r="H1900" s="33">
        <v>45784139.810000002</v>
      </c>
      <c r="I1900" s="44"/>
      <c r="J1900" s="49">
        <v>39668183.32</v>
      </c>
      <c r="K1900" s="30"/>
      <c r="L1900" s="33">
        <v>32256431.77</v>
      </c>
      <c r="M1900" s="30"/>
      <c r="N1900" s="33">
        <v>6115956.4899999993</v>
      </c>
      <c r="O1900" s="44"/>
      <c r="P1900" s="33">
        <f t="shared" si="19"/>
        <v>7411751.5500000007</v>
      </c>
    </row>
    <row r="1901" spans="4:16" x14ac:dyDescent="0.25">
      <c r="D1901" s="44" t="s">
        <v>407</v>
      </c>
      <c r="E1901" s="31"/>
      <c r="F1901" s="32"/>
      <c r="G1901" s="44"/>
      <c r="H1901" s="33">
        <v>25403068.82</v>
      </c>
      <c r="I1901" s="44"/>
      <c r="J1901" s="48">
        <v>25403068.82</v>
      </c>
      <c r="K1901" s="34"/>
      <c r="L1901" s="48">
        <v>24621689.41</v>
      </c>
      <c r="M1901" s="34"/>
      <c r="N1901" s="48"/>
      <c r="O1901" s="44"/>
      <c r="P1901" s="33">
        <f t="shared" si="19"/>
        <v>781379.41000000015</v>
      </c>
    </row>
    <row r="1902" spans="4:16" x14ac:dyDescent="0.25">
      <c r="D1902" s="44"/>
      <c r="E1902" s="31"/>
      <c r="F1902" s="32"/>
      <c r="G1902" s="44"/>
      <c r="H1902" s="33"/>
      <c r="I1902" s="44"/>
      <c r="J1902" s="48"/>
      <c r="K1902" s="34"/>
      <c r="L1902" s="48"/>
      <c r="M1902" s="34"/>
      <c r="N1902" s="48"/>
      <c r="O1902" s="44"/>
      <c r="P1902" s="33"/>
    </row>
    <row r="1903" spans="4:16" x14ac:dyDescent="0.25">
      <c r="D1903" s="44" t="s">
        <v>408</v>
      </c>
      <c r="E1903" s="31"/>
      <c r="F1903" s="32"/>
      <c r="G1903" s="44"/>
      <c r="H1903" s="33">
        <v>1259425.6000000001</v>
      </c>
      <c r="I1903" s="44"/>
      <c r="J1903" s="33">
        <v>1259425.6000000001</v>
      </c>
      <c r="K1903" s="30"/>
      <c r="L1903" s="46"/>
      <c r="M1903" s="30"/>
      <c r="N1903" s="46"/>
      <c r="O1903" s="44"/>
      <c r="P1903" s="33">
        <v>1259425.6000000001</v>
      </c>
    </row>
    <row r="1904" spans="4:16" x14ac:dyDescent="0.25">
      <c r="D1904" s="44" t="s">
        <v>409</v>
      </c>
      <c r="E1904" s="31"/>
      <c r="F1904" s="32"/>
      <c r="G1904" s="44"/>
      <c r="H1904" s="33">
        <v>-25403068.82</v>
      </c>
      <c r="I1904" s="44"/>
      <c r="J1904" s="35">
        <v>-25403068.82</v>
      </c>
      <c r="K1904" s="30"/>
      <c r="L1904" s="46"/>
      <c r="M1904" s="30"/>
      <c r="N1904" s="46"/>
      <c r="O1904" s="44"/>
      <c r="P1904" s="33">
        <v>-25403068.82</v>
      </c>
    </row>
    <row r="1905" spans="4:16" x14ac:dyDescent="0.25">
      <c r="D1905" s="44"/>
      <c r="E1905" s="31"/>
      <c r="F1905" s="32"/>
      <c r="G1905" s="44"/>
      <c r="H1905" s="33">
        <v>-4000000</v>
      </c>
      <c r="I1905" s="44"/>
      <c r="J1905" s="48">
        <v>-4000000</v>
      </c>
      <c r="K1905" s="30"/>
      <c r="L1905" s="46"/>
      <c r="M1905" s="30"/>
      <c r="N1905" s="46"/>
      <c r="O1905" s="44"/>
      <c r="P1905" s="47">
        <v>-4000000</v>
      </c>
    </row>
    <row r="1906" spans="4:16" x14ac:dyDescent="0.25">
      <c r="D1906" s="44"/>
      <c r="E1906" s="31"/>
      <c r="F1906" s="32"/>
      <c r="G1906" s="44"/>
      <c r="H1906" s="33">
        <v>-4792688</v>
      </c>
      <c r="I1906" s="44"/>
      <c r="J1906" s="48">
        <v>-4792688</v>
      </c>
      <c r="K1906" s="30"/>
      <c r="L1906" s="46"/>
      <c r="M1906" s="30"/>
      <c r="N1906" s="46"/>
      <c r="O1906" s="44"/>
      <c r="P1906" s="47">
        <v>-4792688</v>
      </c>
    </row>
    <row r="1907" spans="4:16" x14ac:dyDescent="0.25">
      <c r="D1907" s="44"/>
      <c r="E1907" s="31"/>
      <c r="F1907" s="32"/>
      <c r="G1907" s="44"/>
      <c r="H1907" s="33">
        <v>-9055000</v>
      </c>
      <c r="I1907" s="44"/>
      <c r="J1907" s="48">
        <v>-9055000</v>
      </c>
      <c r="K1907" s="34"/>
      <c r="L1907" s="35"/>
      <c r="M1907" s="34"/>
      <c r="N1907" s="35"/>
      <c r="O1907" s="44"/>
      <c r="P1907" s="49">
        <v>-9055000</v>
      </c>
    </row>
    <row r="1908" spans="4:16" x14ac:dyDescent="0.25">
      <c r="D1908" s="44"/>
      <c r="E1908" s="31"/>
      <c r="F1908" s="32"/>
      <c r="G1908" s="50"/>
      <c r="H1908" s="51">
        <v>-10800000</v>
      </c>
      <c r="I1908" s="50"/>
      <c r="J1908" s="52">
        <v>-10800000</v>
      </c>
      <c r="K1908" s="53"/>
      <c r="L1908" s="54"/>
      <c r="M1908" s="53"/>
      <c r="N1908" s="51"/>
      <c r="O1908" s="50"/>
      <c r="P1908" s="55">
        <v>-10800000</v>
      </c>
    </row>
    <row r="1909" spans="4:16" x14ac:dyDescent="0.25">
      <c r="D1909" s="44"/>
      <c r="E1909" s="31"/>
      <c r="F1909" s="32"/>
      <c r="G1909" s="44"/>
      <c r="H1909" s="33"/>
      <c r="I1909" s="44"/>
      <c r="J1909" s="45"/>
      <c r="K1909" s="44"/>
      <c r="L1909" s="45"/>
      <c r="M1909" s="44"/>
      <c r="N1909" s="45"/>
      <c r="O1909" s="44"/>
      <c r="P1909" s="32"/>
    </row>
    <row r="1910" spans="4:16" x14ac:dyDescent="0.25">
      <c r="D1910" s="44" t="s">
        <v>59</v>
      </c>
      <c r="E1910" s="31"/>
      <c r="F1910" s="32"/>
      <c r="G1910" s="50"/>
      <c r="H1910" s="51">
        <f>SUM(H1895:H1908)</f>
        <v>1960549686.46</v>
      </c>
      <c r="I1910" s="53"/>
      <c r="J1910" s="51">
        <f>SUM(J1895:J1908)</f>
        <v>1919451589.73</v>
      </c>
      <c r="K1910" s="53"/>
      <c r="L1910" s="51">
        <f>SUM(L1895:L1908)</f>
        <v>1787496374.23</v>
      </c>
      <c r="M1910" s="53"/>
      <c r="N1910" s="51">
        <f>SUM(N1895:N1908)</f>
        <v>41098096.729999997</v>
      </c>
      <c r="O1910" s="53"/>
      <c r="P1910" s="51">
        <f>SUM(P1895:P1908)</f>
        <v>131955215.5</v>
      </c>
    </row>
    <row r="1911" spans="4:16" x14ac:dyDescent="0.25">
      <c r="D1911" s="44"/>
      <c r="E1911" s="31"/>
      <c r="F1911" s="32"/>
      <c r="G1911" s="44"/>
      <c r="H1911" s="32"/>
      <c r="I1911" s="44"/>
      <c r="J1911" s="45"/>
      <c r="K1911" s="44"/>
      <c r="L1911" s="45"/>
      <c r="M1911" s="44"/>
      <c r="N1911" s="45"/>
      <c r="O1911" s="44"/>
      <c r="P1911" s="32"/>
    </row>
    <row r="1912" spans="4:16" x14ac:dyDescent="0.25">
      <c r="D1912" s="44"/>
      <c r="E1912" s="31"/>
      <c r="F1912" s="32"/>
      <c r="G1912" s="50"/>
      <c r="H1912" s="51">
        <f>+H12</f>
        <v>1960549686.46</v>
      </c>
      <c r="I1912" s="50"/>
      <c r="J1912" s="51">
        <f>+J12</f>
        <v>1919451589.73</v>
      </c>
      <c r="K1912" s="53"/>
      <c r="L1912" s="51">
        <f>+L12</f>
        <v>1787496374.23</v>
      </c>
      <c r="M1912" s="53"/>
      <c r="N1912" s="51">
        <f>+N12</f>
        <v>41098096.730000004</v>
      </c>
      <c r="O1912" s="50"/>
      <c r="P1912" s="51">
        <f>+P12</f>
        <v>131955215.50000001</v>
      </c>
    </row>
    <row r="1913" spans="4:16" x14ac:dyDescent="0.25">
      <c r="D1913" s="44"/>
      <c r="E1913" s="31"/>
      <c r="F1913" s="32"/>
      <c r="G1913" s="44"/>
      <c r="H1913" s="32"/>
      <c r="I1913" s="44"/>
      <c r="J1913" s="45"/>
      <c r="K1913" s="44"/>
      <c r="L1913" s="45"/>
      <c r="M1913" s="44"/>
      <c r="N1913" s="45"/>
      <c r="O1913" s="44"/>
      <c r="P1913" s="32"/>
    </row>
    <row r="1914" spans="4:16" ht="13.5" thickBot="1" x14ac:dyDescent="0.3">
      <c r="D1914" s="44" t="s">
        <v>410</v>
      </c>
      <c r="E1914" s="31"/>
      <c r="F1914" s="32"/>
      <c r="G1914" s="56"/>
      <c r="H1914" s="57">
        <f>+H1910-H1912</f>
        <v>0</v>
      </c>
      <c r="I1914" s="56"/>
      <c r="J1914" s="57">
        <f>+J1910-J1912</f>
        <v>0</v>
      </c>
      <c r="K1914" s="58"/>
      <c r="L1914" s="57">
        <f>+L1910-L1912</f>
        <v>0</v>
      </c>
      <c r="M1914" s="58"/>
      <c r="N1914" s="59">
        <f>+N1910-N1912</f>
        <v>0</v>
      </c>
      <c r="O1914" s="60"/>
      <c r="P1914" s="57">
        <f>+P1910-P1912</f>
        <v>0</v>
      </c>
    </row>
    <row r="1915" spans="4:16" ht="13.5" thickTop="1" x14ac:dyDescent="0.25">
      <c r="D1915" s="44"/>
      <c r="E1915" s="31"/>
      <c r="F1915" s="32"/>
      <c r="G1915" s="44"/>
      <c r="H1915" s="33"/>
      <c r="I1915" s="44"/>
      <c r="J1915" s="45"/>
      <c r="K1915" s="30"/>
      <c r="L1915" s="46"/>
      <c r="M1915" s="30"/>
      <c r="N1915" s="46"/>
      <c r="O1915" s="44"/>
      <c r="P1915" s="47"/>
    </row>
    <row r="1916" spans="4:16" x14ac:dyDescent="0.25">
      <c r="D1916" s="50"/>
      <c r="E1916" s="61"/>
      <c r="F1916" s="62"/>
      <c r="G1916" s="50"/>
      <c r="H1916" s="62"/>
      <c r="I1916" s="50"/>
      <c r="J1916" s="63"/>
      <c r="K1916" s="50"/>
      <c r="L1916" s="63"/>
      <c r="M1916" s="50"/>
      <c r="N1916" s="63"/>
      <c r="O1916" s="50"/>
      <c r="P1916" s="62"/>
    </row>
    <row r="1918" spans="4:16" hidden="1" x14ac:dyDescent="0.25">
      <c r="F1918" s="7" t="s">
        <v>413</v>
      </c>
      <c r="H1918" s="8">
        <v>2718690.01</v>
      </c>
      <c r="J1918" s="8" t="s">
        <v>418</v>
      </c>
      <c r="L1918" s="8" t="s">
        <v>419</v>
      </c>
      <c r="N1918" s="8" t="s">
        <v>446</v>
      </c>
    </row>
    <row r="1919" spans="4:16" hidden="1" x14ac:dyDescent="0.25">
      <c r="F1919" s="7" t="s">
        <v>412</v>
      </c>
      <c r="H1919" s="8">
        <v>1189421.3999999999</v>
      </c>
      <c r="L1919" s="8" t="s">
        <v>419</v>
      </c>
      <c r="N1919" s="8" t="s">
        <v>446</v>
      </c>
    </row>
    <row r="1920" spans="4:16" hidden="1" x14ac:dyDescent="0.25">
      <c r="F1920" s="7" t="s">
        <v>415</v>
      </c>
      <c r="H1920" s="8">
        <v>5203.22</v>
      </c>
      <c r="J1920" s="8" t="s">
        <v>417</v>
      </c>
      <c r="L1920" s="8" t="s">
        <v>419</v>
      </c>
      <c r="N1920" s="8" t="s">
        <v>446</v>
      </c>
      <c r="P1920" s="8" t="s">
        <v>485</v>
      </c>
    </row>
    <row r="1921" spans="5:16" hidden="1" x14ac:dyDescent="0.25">
      <c r="E1921" s="8" t="s">
        <v>414</v>
      </c>
      <c r="F1921" s="7" t="s">
        <v>420</v>
      </c>
      <c r="H1921" s="8">
        <v>198605.76</v>
      </c>
      <c r="J1921" s="8" t="s">
        <v>421</v>
      </c>
      <c r="N1921" s="8" t="s">
        <v>446</v>
      </c>
    </row>
    <row r="1922" spans="5:16" hidden="1" x14ac:dyDescent="0.25">
      <c r="F1922" s="7" t="s">
        <v>422</v>
      </c>
    </row>
    <row r="1923" spans="5:16" hidden="1" x14ac:dyDescent="0.25">
      <c r="F1923" s="7" t="s">
        <v>423</v>
      </c>
      <c r="H1923" s="8">
        <v>473.55</v>
      </c>
      <c r="J1923" s="8" t="s">
        <v>416</v>
      </c>
      <c r="N1923" s="8" t="s">
        <v>446</v>
      </c>
      <c r="P1923" s="8" t="s">
        <v>485</v>
      </c>
    </row>
    <row r="1924" spans="5:16" hidden="1" x14ac:dyDescent="0.25"/>
    <row r="1925" spans="5:16" hidden="1" x14ac:dyDescent="0.25">
      <c r="F1925" s="3"/>
      <c r="H1925" s="8">
        <f>SUM(H1918:H1924)</f>
        <v>4112393.9399999995</v>
      </c>
      <c r="I1925" s="3"/>
      <c r="J1925" s="3"/>
      <c r="K1925" s="3"/>
      <c r="L1925" s="3"/>
      <c r="M1925" s="3"/>
      <c r="N1925" s="3"/>
      <c r="O1925" s="3"/>
      <c r="P1925" s="3"/>
    </row>
    <row r="1926" spans="5:16" hidden="1" x14ac:dyDescent="0.25">
      <c r="F1926" s="3"/>
      <c r="H1926" s="8">
        <f>+H1925+H1914</f>
        <v>4112393.9399999995</v>
      </c>
      <c r="I1926" s="3"/>
      <c r="J1926" s="3"/>
      <c r="K1926" s="3"/>
      <c r="L1926" s="3"/>
      <c r="M1926" s="3"/>
      <c r="N1926" s="3"/>
      <c r="O1926" s="3"/>
      <c r="P1926" s="3"/>
    </row>
    <row r="1927" spans="5:16" hidden="1" x14ac:dyDescent="0.25">
      <c r="H1927" s="8">
        <f>+H1925-H1926</f>
        <v>0</v>
      </c>
    </row>
  </sheetData>
  <sheetProtection sheet="1" objects="1" scenarios="1"/>
  <mergeCells count="16">
    <mergeCell ref="L1874:O1874"/>
    <mergeCell ref="L1875:O1875"/>
    <mergeCell ref="M1892:N1892"/>
    <mergeCell ref="O1892:P1892"/>
    <mergeCell ref="D1893:F1893"/>
    <mergeCell ref="G1893:H1893"/>
    <mergeCell ref="I1893:J1893"/>
    <mergeCell ref="K1893:L1893"/>
    <mergeCell ref="M1893:N1893"/>
    <mergeCell ref="O1893:P1893"/>
    <mergeCell ref="A6:P6"/>
    <mergeCell ref="A7:P7"/>
    <mergeCell ref="A2:P2"/>
    <mergeCell ref="A3:P3"/>
    <mergeCell ref="A4:P4"/>
    <mergeCell ref="A5:P5"/>
  </mergeCells>
  <pageMargins left="0.9" right="0.9" top="0.75" bottom="0.5" header="0.3" footer="0.3"/>
  <pageSetup paperSize="9" orientation="landscape" r:id="rId1"/>
  <headerFooter>
    <oddFooter>&amp;C&amp;"Arial Narrow,Bold"-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2"/>
  <sheetViews>
    <sheetView topLeftCell="E40" workbookViewId="0">
      <selection activeCell="J67" sqref="J67"/>
    </sheetView>
  </sheetViews>
  <sheetFormatPr defaultRowHeight="12.75" x14ac:dyDescent="0.2"/>
  <cols>
    <col min="1" max="1" width="0.83203125" customWidth="1"/>
    <col min="2" max="2" width="2.6640625" customWidth="1"/>
    <col min="3" max="3" width="3" customWidth="1"/>
    <col min="4" max="4" width="52.6640625" customWidth="1"/>
    <col min="5" max="5" width="1.6640625" customWidth="1"/>
    <col min="6" max="6" width="7.83203125" bestFit="1" customWidth="1"/>
    <col min="7" max="7" width="2.83203125" customWidth="1"/>
    <col min="8" max="8" width="17.1640625" customWidth="1"/>
    <col min="9" max="9" width="2.83203125" customWidth="1"/>
    <col min="10" max="10" width="17" customWidth="1"/>
    <col min="11" max="11" width="2.33203125" customWidth="1"/>
    <col min="12" max="12" width="17" customWidth="1"/>
    <col min="13" max="13" width="2.83203125" customWidth="1"/>
    <col min="14" max="14" width="15.1640625" customWidth="1"/>
    <col min="15" max="15" width="3.33203125" customWidth="1"/>
    <col min="16" max="16" width="15.83203125" customWidth="1"/>
  </cols>
  <sheetData>
    <row r="1" spans="1:16" x14ac:dyDescent="0.2">
      <c r="B1" t="s">
        <v>542</v>
      </c>
    </row>
    <row r="2" spans="1:16" s="69" customFormat="1" ht="13.5" x14ac:dyDescent="0.25">
      <c r="F2" s="7"/>
      <c r="N2" s="77" t="s">
        <v>6</v>
      </c>
      <c r="P2" s="77" t="s">
        <v>6</v>
      </c>
    </row>
    <row r="3" spans="1:16" s="72" customFormat="1" ht="13.5" x14ac:dyDescent="0.25">
      <c r="A3" s="117" t="s">
        <v>1</v>
      </c>
      <c r="B3" s="117"/>
      <c r="C3" s="117"/>
      <c r="D3" s="117"/>
      <c r="F3" s="10" t="s">
        <v>2</v>
      </c>
      <c r="H3" s="78" t="s">
        <v>3</v>
      </c>
      <c r="J3" s="78" t="s">
        <v>4</v>
      </c>
      <c r="L3" s="78" t="s">
        <v>5</v>
      </c>
      <c r="N3" s="79" t="s">
        <v>3</v>
      </c>
      <c r="P3" s="78" t="s">
        <v>4</v>
      </c>
    </row>
    <row r="4" spans="1:16" s="72" customFormat="1" ht="13.5" x14ac:dyDescent="0.25">
      <c r="A4" s="82"/>
      <c r="B4" s="82" t="s">
        <v>543</v>
      </c>
      <c r="C4" s="82"/>
      <c r="D4" s="82"/>
      <c r="F4" s="10"/>
      <c r="H4" s="78"/>
      <c r="J4" s="78"/>
      <c r="L4" s="78"/>
      <c r="N4" s="79"/>
      <c r="P4" s="78"/>
    </row>
    <row r="5" spans="1:16" s="72" customFormat="1" ht="13.5" x14ac:dyDescent="0.25">
      <c r="A5" s="82"/>
      <c r="B5" s="82" t="s">
        <v>544</v>
      </c>
      <c r="C5" s="82"/>
      <c r="D5" s="82"/>
      <c r="F5" s="10"/>
      <c r="H5" s="78"/>
      <c r="J5" s="78"/>
      <c r="L5" s="78"/>
      <c r="N5" s="79"/>
      <c r="P5" s="78"/>
    </row>
    <row r="6" spans="1:16" x14ac:dyDescent="0.2">
      <c r="C6" t="s">
        <v>545</v>
      </c>
      <c r="H6" s="1">
        <v>3000000</v>
      </c>
      <c r="I6" s="1"/>
      <c r="J6" s="1">
        <v>3000000</v>
      </c>
      <c r="K6" s="1"/>
      <c r="L6" s="1">
        <v>3000000</v>
      </c>
      <c r="M6" s="1"/>
      <c r="N6" s="1">
        <v>0</v>
      </c>
      <c r="O6" s="1"/>
      <c r="P6" s="1">
        <f t="shared" ref="P6:P61" si="0">+J6-L6</f>
        <v>0</v>
      </c>
    </row>
    <row r="7" spans="1:16" x14ac:dyDescent="0.2">
      <c r="B7" t="s">
        <v>546</v>
      </c>
      <c r="H7" s="1"/>
      <c r="I7" s="1"/>
      <c r="J7" s="1"/>
      <c r="K7" s="1"/>
      <c r="L7" s="1"/>
      <c r="M7" s="1"/>
      <c r="N7" s="1"/>
      <c r="O7" s="1"/>
      <c r="P7" s="1">
        <f t="shared" si="0"/>
        <v>0</v>
      </c>
    </row>
    <row r="8" spans="1:16" x14ac:dyDescent="0.2">
      <c r="C8" s="86" t="s">
        <v>40</v>
      </c>
      <c r="D8" s="86"/>
      <c r="H8" s="83">
        <v>3400000</v>
      </c>
      <c r="I8" s="1"/>
      <c r="J8" s="83">
        <v>3400000</v>
      </c>
      <c r="K8" s="1"/>
      <c r="L8" s="83">
        <v>3400000</v>
      </c>
      <c r="M8" s="1"/>
      <c r="N8" s="1">
        <v>0</v>
      </c>
      <c r="O8" s="1"/>
      <c r="P8" s="1">
        <f t="shared" si="0"/>
        <v>0</v>
      </c>
    </row>
    <row r="9" spans="1:16" x14ac:dyDescent="0.2">
      <c r="C9" t="s">
        <v>25</v>
      </c>
      <c r="H9" s="1">
        <v>2760000</v>
      </c>
      <c r="I9" s="1"/>
      <c r="J9" s="1">
        <v>2760000</v>
      </c>
      <c r="K9" s="1"/>
      <c r="L9" s="1">
        <v>2751424.13</v>
      </c>
      <c r="M9" s="1"/>
      <c r="N9" s="1"/>
      <c r="O9" s="1"/>
      <c r="P9" s="1">
        <f>+J9-L9</f>
        <v>8575.8700000001118</v>
      </c>
    </row>
    <row r="10" spans="1:16" x14ac:dyDescent="0.2">
      <c r="B10" t="s">
        <v>547</v>
      </c>
      <c r="H10" s="1"/>
      <c r="I10" s="1"/>
      <c r="J10" s="1"/>
      <c r="K10" s="1"/>
      <c r="L10" s="1"/>
      <c r="M10" s="1"/>
      <c r="N10" s="1"/>
      <c r="O10" s="1"/>
      <c r="P10" s="1">
        <f t="shared" si="0"/>
        <v>0</v>
      </c>
    </row>
    <row r="11" spans="1:16" x14ac:dyDescent="0.2">
      <c r="C11" t="s">
        <v>593</v>
      </c>
      <c r="H11" s="1">
        <v>500000</v>
      </c>
      <c r="I11" s="1"/>
      <c r="J11" s="1">
        <v>500000</v>
      </c>
      <c r="K11" s="1"/>
      <c r="L11" s="1">
        <v>500000</v>
      </c>
      <c r="M11" s="1"/>
      <c r="N11" s="1">
        <v>0</v>
      </c>
      <c r="O11" s="1"/>
      <c r="P11" s="1">
        <v>0</v>
      </c>
    </row>
    <row r="12" spans="1:16" x14ac:dyDescent="0.2">
      <c r="C12" t="s">
        <v>548</v>
      </c>
      <c r="H12" s="1">
        <v>725536.81</v>
      </c>
      <c r="I12" s="1"/>
      <c r="J12" s="1">
        <v>725536.81</v>
      </c>
      <c r="K12" s="1"/>
      <c r="L12" s="1">
        <v>725536.7</v>
      </c>
      <c r="M12" s="1"/>
      <c r="N12" s="1"/>
      <c r="O12" s="1"/>
      <c r="P12" s="1">
        <v>0.11000000010244548</v>
      </c>
    </row>
    <row r="13" spans="1:16" x14ac:dyDescent="0.2">
      <c r="B13" t="s">
        <v>52</v>
      </c>
      <c r="H13" s="1"/>
      <c r="I13" s="1"/>
      <c r="J13" s="1"/>
      <c r="K13" s="1"/>
      <c r="L13" s="1"/>
      <c r="M13" s="1"/>
      <c r="N13" s="1"/>
      <c r="O13" s="1"/>
      <c r="P13" s="1">
        <f t="shared" si="0"/>
        <v>0</v>
      </c>
    </row>
    <row r="14" spans="1:16" x14ac:dyDescent="0.2">
      <c r="C14" t="s">
        <v>549</v>
      </c>
      <c r="H14" s="1">
        <v>200000</v>
      </c>
      <c r="I14" s="1"/>
      <c r="J14" s="1">
        <v>200000</v>
      </c>
      <c r="K14" s="1"/>
      <c r="L14" s="1">
        <v>200000</v>
      </c>
      <c r="M14" s="1"/>
      <c r="N14" s="1">
        <v>0</v>
      </c>
      <c r="O14" s="1"/>
      <c r="P14" s="1">
        <f t="shared" si="0"/>
        <v>0</v>
      </c>
    </row>
    <row r="15" spans="1:16" x14ac:dyDescent="0.2">
      <c r="B15" t="s">
        <v>550</v>
      </c>
      <c r="H15" s="1"/>
      <c r="I15" s="1"/>
      <c r="J15" s="1"/>
      <c r="K15" s="1"/>
      <c r="L15" s="1"/>
      <c r="M15" s="1"/>
      <c r="N15" s="1"/>
      <c r="O15" s="1"/>
      <c r="P15" s="1">
        <f t="shared" si="0"/>
        <v>0</v>
      </c>
    </row>
    <row r="16" spans="1:16" x14ac:dyDescent="0.2">
      <c r="C16" t="s">
        <v>551</v>
      </c>
      <c r="H16" s="1">
        <v>6023100</v>
      </c>
      <c r="I16" s="1"/>
      <c r="J16" s="1">
        <v>6023100</v>
      </c>
      <c r="K16" s="1"/>
      <c r="L16" s="1">
        <v>0</v>
      </c>
      <c r="M16" s="1"/>
      <c r="N16" s="1">
        <v>0</v>
      </c>
      <c r="O16" s="1"/>
      <c r="P16" s="1">
        <f t="shared" si="0"/>
        <v>6023100</v>
      </c>
    </row>
    <row r="17" spans="2:16" x14ac:dyDescent="0.2">
      <c r="C17" t="s">
        <v>552</v>
      </c>
      <c r="H17" s="1">
        <v>483394</v>
      </c>
      <c r="I17" s="1"/>
      <c r="J17" s="1">
        <v>483394</v>
      </c>
      <c r="K17" s="1"/>
      <c r="L17" s="1">
        <v>322205.98</v>
      </c>
      <c r="M17" s="1"/>
      <c r="N17" s="1">
        <v>0</v>
      </c>
      <c r="O17" s="1"/>
      <c r="P17" s="1">
        <f t="shared" si="0"/>
        <v>161188.02000000002</v>
      </c>
    </row>
    <row r="18" spans="2:16" x14ac:dyDescent="0.2">
      <c r="C18" t="s">
        <v>553</v>
      </c>
      <c r="H18" s="1">
        <v>483475</v>
      </c>
      <c r="I18" s="1"/>
      <c r="J18" s="1">
        <v>483475</v>
      </c>
      <c r="K18" s="1"/>
      <c r="L18" s="1">
        <v>322205.98</v>
      </c>
      <c r="M18" s="1"/>
      <c r="N18" s="1">
        <v>0</v>
      </c>
      <c r="O18" s="1"/>
      <c r="P18" s="1">
        <f t="shared" si="0"/>
        <v>161269.02000000002</v>
      </c>
    </row>
    <row r="19" spans="2:16" x14ac:dyDescent="0.2">
      <c r="B19" t="s">
        <v>554</v>
      </c>
      <c r="H19" s="1"/>
      <c r="I19" s="1"/>
      <c r="J19" s="1"/>
      <c r="K19" s="1"/>
      <c r="L19" s="1"/>
      <c r="M19" s="1"/>
      <c r="N19" s="1"/>
      <c r="O19" s="1"/>
      <c r="P19" s="1">
        <f t="shared" si="0"/>
        <v>0</v>
      </c>
    </row>
    <row r="20" spans="2:16" x14ac:dyDescent="0.2">
      <c r="C20" t="s">
        <v>555</v>
      </c>
      <c r="H20" s="1">
        <v>50000</v>
      </c>
      <c r="I20" s="1"/>
      <c r="J20" s="1">
        <v>50000</v>
      </c>
      <c r="K20" s="1"/>
      <c r="L20" s="1">
        <v>50000</v>
      </c>
      <c r="M20" s="1"/>
      <c r="N20" s="1">
        <v>0</v>
      </c>
      <c r="O20" s="1"/>
      <c r="P20" s="1">
        <f t="shared" si="0"/>
        <v>0</v>
      </c>
    </row>
    <row r="21" spans="2:16" x14ac:dyDescent="0.2">
      <c r="B21" t="s">
        <v>556</v>
      </c>
      <c r="H21" s="1"/>
      <c r="I21" s="1"/>
      <c r="J21" s="1"/>
      <c r="K21" s="1"/>
      <c r="L21" s="1"/>
      <c r="M21" s="1"/>
      <c r="N21" s="1"/>
      <c r="O21" s="1"/>
      <c r="P21" s="1">
        <f t="shared" si="0"/>
        <v>0</v>
      </c>
    </row>
    <row r="22" spans="2:16" x14ac:dyDescent="0.2">
      <c r="C22" t="s">
        <v>557</v>
      </c>
      <c r="H22" s="1">
        <v>481400</v>
      </c>
      <c r="I22" s="1"/>
      <c r="J22" s="1">
        <v>481400</v>
      </c>
      <c r="K22" s="1"/>
      <c r="L22" s="1">
        <v>0</v>
      </c>
      <c r="M22" s="1"/>
      <c r="N22" s="1">
        <v>0</v>
      </c>
      <c r="O22" s="1"/>
      <c r="P22" s="1">
        <f t="shared" si="0"/>
        <v>481400</v>
      </c>
    </row>
    <row r="23" spans="2:16" x14ac:dyDescent="0.2">
      <c r="B23" s="66" t="s">
        <v>524</v>
      </c>
      <c r="H23" s="1"/>
      <c r="I23" s="1"/>
      <c r="J23" s="1"/>
      <c r="K23" s="1"/>
      <c r="L23" s="1"/>
      <c r="M23" s="1"/>
      <c r="N23" s="1"/>
      <c r="O23" s="1"/>
      <c r="P23" s="1">
        <f t="shared" si="0"/>
        <v>0</v>
      </c>
    </row>
    <row r="24" spans="2:16" x14ac:dyDescent="0.2">
      <c r="C24" t="s">
        <v>558</v>
      </c>
      <c r="H24" s="1">
        <v>300000</v>
      </c>
      <c r="I24" s="1"/>
      <c r="J24" s="1">
        <v>300000</v>
      </c>
      <c r="K24" s="1"/>
      <c r="L24" s="1">
        <v>0</v>
      </c>
      <c r="M24" s="1"/>
      <c r="N24" s="1">
        <v>0</v>
      </c>
      <c r="O24" s="1"/>
      <c r="P24" s="1">
        <f t="shared" si="0"/>
        <v>300000</v>
      </c>
    </row>
    <row r="25" spans="2:16" x14ac:dyDescent="0.2">
      <c r="C25" t="s">
        <v>559</v>
      </c>
      <c r="H25" s="1">
        <v>500000</v>
      </c>
      <c r="I25" s="1"/>
      <c r="J25" s="1">
        <v>500000</v>
      </c>
      <c r="K25" s="1"/>
      <c r="L25" s="1">
        <v>374212.2</v>
      </c>
      <c r="M25" s="1"/>
      <c r="N25" s="1">
        <v>0</v>
      </c>
      <c r="O25" s="1"/>
      <c r="P25" s="1">
        <f t="shared" si="0"/>
        <v>125787.79999999999</v>
      </c>
    </row>
    <row r="26" spans="2:16" x14ac:dyDescent="0.2">
      <c r="C26" t="s">
        <v>560</v>
      </c>
      <c r="H26" s="1">
        <v>1098640.98</v>
      </c>
      <c r="I26" s="1"/>
      <c r="J26" s="1">
        <v>1098640.98</v>
      </c>
      <c r="K26" s="1"/>
      <c r="L26" s="1">
        <v>730070</v>
      </c>
      <c r="M26" s="1"/>
      <c r="N26" s="1">
        <v>0</v>
      </c>
      <c r="O26" s="1"/>
      <c r="P26" s="1">
        <f t="shared" si="0"/>
        <v>368570.98</v>
      </c>
    </row>
    <row r="27" spans="2:16" x14ac:dyDescent="0.2">
      <c r="H27" s="1"/>
      <c r="I27" s="1"/>
      <c r="J27" s="1"/>
      <c r="K27" s="1"/>
      <c r="L27" s="1"/>
      <c r="M27" s="1"/>
      <c r="N27" s="1"/>
      <c r="O27" s="1"/>
      <c r="P27" s="1">
        <f t="shared" si="0"/>
        <v>0</v>
      </c>
    </row>
    <row r="28" spans="2:16" x14ac:dyDescent="0.2">
      <c r="B28" s="66" t="s">
        <v>527</v>
      </c>
      <c r="H28" s="1"/>
      <c r="I28" s="1"/>
      <c r="J28" s="1"/>
      <c r="K28" s="1"/>
      <c r="L28" s="1"/>
      <c r="M28" s="1"/>
      <c r="N28" s="1"/>
      <c r="O28" s="1"/>
      <c r="P28" s="1">
        <f t="shared" si="0"/>
        <v>0</v>
      </c>
    </row>
    <row r="29" spans="2:16" x14ac:dyDescent="0.2">
      <c r="C29" t="s">
        <v>561</v>
      </c>
      <c r="H29" s="1">
        <v>999500</v>
      </c>
      <c r="I29" s="1"/>
      <c r="J29" s="1">
        <v>999500</v>
      </c>
      <c r="K29" s="1"/>
      <c r="L29" s="1">
        <v>999100</v>
      </c>
      <c r="M29" s="1"/>
      <c r="N29" s="1">
        <v>0</v>
      </c>
      <c r="O29" s="1"/>
      <c r="P29" s="1">
        <v>400</v>
      </c>
    </row>
    <row r="30" spans="2:16" x14ac:dyDescent="0.2">
      <c r="C30" t="s">
        <v>562</v>
      </c>
      <c r="H30" s="1">
        <v>179229.25</v>
      </c>
      <c r="J30" s="1">
        <v>179229.25</v>
      </c>
      <c r="K30" s="1"/>
      <c r="L30" s="83">
        <v>179229.25</v>
      </c>
      <c r="M30" s="1"/>
      <c r="N30" s="1">
        <v>0</v>
      </c>
      <c r="O30" s="1"/>
      <c r="P30" s="1">
        <v>0</v>
      </c>
    </row>
    <row r="31" spans="2:16" x14ac:dyDescent="0.2">
      <c r="C31" t="s">
        <v>563</v>
      </c>
      <c r="H31" s="1">
        <v>375185.5</v>
      </c>
      <c r="I31" s="1"/>
      <c r="J31" s="1">
        <v>375185.5</v>
      </c>
      <c r="K31" s="1"/>
      <c r="L31" s="1">
        <v>375185.5</v>
      </c>
      <c r="M31" s="1"/>
      <c r="N31" s="1">
        <v>0</v>
      </c>
      <c r="O31" s="1"/>
      <c r="P31" s="1">
        <v>0</v>
      </c>
    </row>
    <row r="32" spans="2:16" x14ac:dyDescent="0.2">
      <c r="B32" s="66" t="s">
        <v>531</v>
      </c>
      <c r="H32" s="1"/>
      <c r="I32" s="1"/>
      <c r="J32" s="1"/>
      <c r="K32" s="1"/>
      <c r="L32" s="1"/>
      <c r="M32" s="1"/>
      <c r="N32" s="1"/>
      <c r="O32" s="1"/>
      <c r="P32" s="1">
        <f t="shared" si="0"/>
        <v>0</v>
      </c>
    </row>
    <row r="33" spans="2:16" x14ac:dyDescent="0.2">
      <c r="B33" t="s">
        <v>564</v>
      </c>
      <c r="H33" s="1"/>
      <c r="I33" s="1"/>
      <c r="J33" s="1"/>
      <c r="K33" s="1"/>
      <c r="L33" s="1"/>
      <c r="M33" s="1"/>
      <c r="N33" s="1"/>
      <c r="O33" s="1"/>
      <c r="P33" s="1">
        <f t="shared" si="0"/>
        <v>0</v>
      </c>
    </row>
    <row r="34" spans="2:16" x14ac:dyDescent="0.2">
      <c r="C34" t="s">
        <v>565</v>
      </c>
      <c r="H34" s="83">
        <v>410284</v>
      </c>
      <c r="I34" s="1"/>
      <c r="J34" s="83">
        <v>410284</v>
      </c>
      <c r="K34" s="1"/>
      <c r="L34" s="83">
        <v>399299.42</v>
      </c>
      <c r="M34" s="1"/>
      <c r="N34" s="1">
        <v>0</v>
      </c>
      <c r="O34" s="1"/>
      <c r="P34" s="1">
        <f t="shared" si="0"/>
        <v>10984.580000000016</v>
      </c>
    </row>
    <row r="35" spans="2:16" x14ac:dyDescent="0.2">
      <c r="H35" s="1"/>
      <c r="I35" s="1"/>
      <c r="J35" s="1"/>
      <c r="K35" s="1"/>
      <c r="L35" s="1"/>
      <c r="M35" s="1"/>
      <c r="N35" s="1"/>
      <c r="O35" s="1"/>
      <c r="P35" s="1">
        <f t="shared" si="0"/>
        <v>0</v>
      </c>
    </row>
    <row r="36" spans="2:16" x14ac:dyDescent="0.2">
      <c r="B36" s="66" t="s">
        <v>566</v>
      </c>
      <c r="H36" s="1"/>
      <c r="I36" s="1"/>
      <c r="J36" s="1"/>
      <c r="K36" s="1"/>
      <c r="L36" s="1"/>
      <c r="M36" s="1"/>
      <c r="N36" s="1"/>
      <c r="O36" s="1"/>
      <c r="P36" s="1">
        <f t="shared" si="0"/>
        <v>0</v>
      </c>
    </row>
    <row r="37" spans="2:16" x14ac:dyDescent="0.2">
      <c r="B37" t="s">
        <v>524</v>
      </c>
      <c r="H37" s="1"/>
      <c r="I37" s="1"/>
      <c r="J37" s="1"/>
      <c r="K37" s="1"/>
      <c r="L37" s="1"/>
      <c r="M37" s="1"/>
      <c r="N37" s="1"/>
      <c r="O37" s="1"/>
      <c r="P37" s="1">
        <f t="shared" si="0"/>
        <v>0</v>
      </c>
    </row>
    <row r="38" spans="2:16" x14ac:dyDescent="0.2">
      <c r="C38" t="s">
        <v>567</v>
      </c>
      <c r="H38" s="1"/>
      <c r="I38" s="1"/>
      <c r="J38" s="1"/>
      <c r="K38" s="1"/>
      <c r="L38" s="1"/>
      <c r="M38" s="1"/>
      <c r="N38" s="1"/>
      <c r="O38" s="1"/>
      <c r="P38" s="1">
        <f t="shared" si="0"/>
        <v>0</v>
      </c>
    </row>
    <row r="39" spans="2:16" x14ac:dyDescent="0.2">
      <c r="D39" t="s">
        <v>496</v>
      </c>
      <c r="H39" s="1">
        <v>2000000</v>
      </c>
      <c r="I39" s="1"/>
      <c r="J39" s="1">
        <v>2000000</v>
      </c>
      <c r="K39" s="1"/>
      <c r="L39" s="1">
        <v>590931</v>
      </c>
      <c r="M39" s="1"/>
      <c r="N39" s="1">
        <v>0</v>
      </c>
      <c r="O39" s="1"/>
      <c r="P39" s="1">
        <f t="shared" si="0"/>
        <v>1409069</v>
      </c>
    </row>
    <row r="40" spans="2:16" x14ac:dyDescent="0.2">
      <c r="C40" t="s">
        <v>568</v>
      </c>
      <c r="H40" s="1"/>
      <c r="I40" s="1"/>
      <c r="J40" s="1"/>
      <c r="K40" s="1"/>
      <c r="L40" s="1"/>
      <c r="M40" s="1"/>
      <c r="N40" s="1"/>
      <c r="O40" s="1"/>
      <c r="P40" s="1">
        <f t="shared" si="0"/>
        <v>0</v>
      </c>
    </row>
    <row r="41" spans="2:16" x14ac:dyDescent="0.2">
      <c r="D41" t="s">
        <v>569</v>
      </c>
      <c r="H41" s="1">
        <v>1000000</v>
      </c>
      <c r="I41" s="1"/>
      <c r="J41" s="1">
        <v>1000000</v>
      </c>
      <c r="K41" s="1"/>
      <c r="L41" s="1">
        <v>595568.91</v>
      </c>
      <c r="M41" s="1"/>
      <c r="N41" s="1">
        <v>0</v>
      </c>
      <c r="O41" s="1"/>
      <c r="P41" s="1">
        <f t="shared" si="0"/>
        <v>404431.08999999997</v>
      </c>
    </row>
    <row r="42" spans="2:16" ht="13.5" x14ac:dyDescent="0.25">
      <c r="C42" t="s">
        <v>570</v>
      </c>
      <c r="H42" s="70">
        <v>1500000</v>
      </c>
      <c r="I42" s="70"/>
      <c r="J42" s="70">
        <v>1500000</v>
      </c>
      <c r="K42" s="70"/>
      <c r="L42" s="70">
        <v>0</v>
      </c>
      <c r="M42" s="70"/>
      <c r="N42" s="70">
        <v>0</v>
      </c>
      <c r="O42" s="70"/>
      <c r="P42" s="1">
        <f t="shared" si="0"/>
        <v>1500000</v>
      </c>
    </row>
    <row r="43" spans="2:16" ht="13.5" x14ac:dyDescent="0.25">
      <c r="C43" t="s">
        <v>571</v>
      </c>
      <c r="H43" s="70">
        <v>700000</v>
      </c>
      <c r="I43" s="70"/>
      <c r="J43" s="70">
        <v>700000</v>
      </c>
      <c r="K43" s="70"/>
      <c r="L43" s="70">
        <v>666688.26</v>
      </c>
      <c r="M43" s="70"/>
      <c r="N43" s="70">
        <v>0</v>
      </c>
      <c r="O43" s="70"/>
      <c r="P43" s="1">
        <f t="shared" si="0"/>
        <v>33311.739999999991</v>
      </c>
    </row>
    <row r="44" spans="2:16" ht="13.5" x14ac:dyDescent="0.25">
      <c r="C44" t="s">
        <v>572</v>
      </c>
      <c r="H44" s="70">
        <v>2500000</v>
      </c>
      <c r="I44" s="70"/>
      <c r="J44" s="70">
        <v>2500000</v>
      </c>
      <c r="K44" s="70"/>
      <c r="L44" s="70">
        <v>0</v>
      </c>
      <c r="M44" s="70"/>
      <c r="N44" s="70">
        <v>0</v>
      </c>
      <c r="O44" s="70"/>
      <c r="P44" s="1">
        <f t="shared" si="0"/>
        <v>2500000</v>
      </c>
    </row>
    <row r="45" spans="2:16" ht="13.5" x14ac:dyDescent="0.25">
      <c r="C45" t="s">
        <v>573</v>
      </c>
      <c r="H45" s="70">
        <v>147933.82</v>
      </c>
      <c r="I45" s="70"/>
      <c r="J45" s="70">
        <v>147933.82</v>
      </c>
      <c r="K45" s="70"/>
      <c r="L45" s="70">
        <v>129172.96</v>
      </c>
      <c r="M45" s="70"/>
      <c r="N45" s="70">
        <v>0</v>
      </c>
      <c r="O45" s="70"/>
      <c r="P45" s="1">
        <f t="shared" si="0"/>
        <v>18760.86</v>
      </c>
    </row>
    <row r="46" spans="2:16" ht="13.5" x14ac:dyDescent="0.25">
      <c r="C46" t="s">
        <v>574</v>
      </c>
      <c r="H46" s="70">
        <v>231546.6</v>
      </c>
      <c r="I46" s="70"/>
      <c r="J46" s="70">
        <v>231546.6</v>
      </c>
      <c r="K46" s="70"/>
      <c r="L46" s="70">
        <v>196904.38</v>
      </c>
      <c r="M46" s="70"/>
      <c r="N46" s="70">
        <v>0</v>
      </c>
      <c r="O46" s="70"/>
      <c r="P46" s="1">
        <f t="shared" si="0"/>
        <v>34642.22</v>
      </c>
    </row>
    <row r="47" spans="2:16" ht="13.5" x14ac:dyDescent="0.25">
      <c r="C47" t="s">
        <v>575</v>
      </c>
      <c r="H47" s="70">
        <v>149098.67000000001</v>
      </c>
      <c r="I47" s="70"/>
      <c r="J47" s="70">
        <v>149098.67000000001</v>
      </c>
      <c r="K47" s="70"/>
      <c r="L47" s="70">
        <v>108510.09</v>
      </c>
      <c r="M47" s="70"/>
      <c r="N47" s="70">
        <v>0</v>
      </c>
      <c r="O47" s="70"/>
      <c r="P47" s="1">
        <f t="shared" si="0"/>
        <v>40588.580000000016</v>
      </c>
    </row>
    <row r="48" spans="2:16" ht="13.5" x14ac:dyDescent="0.25">
      <c r="C48" t="s">
        <v>576</v>
      </c>
      <c r="H48" s="70">
        <v>249273.02</v>
      </c>
      <c r="I48" s="70"/>
      <c r="J48" s="70">
        <v>249273.02</v>
      </c>
      <c r="K48" s="70"/>
      <c r="L48" s="70">
        <v>137923.78</v>
      </c>
      <c r="M48" s="70"/>
      <c r="N48" s="70">
        <v>0</v>
      </c>
      <c r="O48" s="70"/>
      <c r="P48" s="1">
        <f t="shared" si="0"/>
        <v>111349.23999999999</v>
      </c>
    </row>
    <row r="49" spans="2:16" ht="13.5" x14ac:dyDescent="0.25">
      <c r="C49" t="s">
        <v>577</v>
      </c>
      <c r="H49" s="70">
        <v>221137.31</v>
      </c>
      <c r="I49" s="70"/>
      <c r="J49" s="70">
        <v>221137.31</v>
      </c>
      <c r="K49" s="70"/>
      <c r="L49" s="70">
        <v>152720.76999999999</v>
      </c>
      <c r="M49" s="70"/>
      <c r="N49" s="70">
        <v>0</v>
      </c>
      <c r="O49" s="70"/>
      <c r="P49" s="1">
        <f t="shared" si="0"/>
        <v>68416.540000000008</v>
      </c>
    </row>
    <row r="50" spans="2:16" ht="13.5" x14ac:dyDescent="0.25">
      <c r="C50" t="s">
        <v>578</v>
      </c>
      <c r="H50" s="70">
        <v>98784.86</v>
      </c>
      <c r="I50" s="70"/>
      <c r="J50" s="70">
        <v>98784.86</v>
      </c>
      <c r="K50" s="70"/>
      <c r="L50" s="70">
        <v>56749.5</v>
      </c>
      <c r="M50" s="70"/>
      <c r="N50" s="70">
        <v>0</v>
      </c>
      <c r="O50" s="70"/>
      <c r="P50" s="1">
        <f t="shared" si="0"/>
        <v>42035.360000000001</v>
      </c>
    </row>
    <row r="51" spans="2:16" ht="13.5" x14ac:dyDescent="0.25">
      <c r="C51" t="s">
        <v>579</v>
      </c>
      <c r="H51" s="70">
        <v>118685.62</v>
      </c>
      <c r="I51" s="70"/>
      <c r="J51" s="70">
        <v>118685.62</v>
      </c>
      <c r="K51" s="70"/>
      <c r="L51" s="70">
        <v>105235.35</v>
      </c>
      <c r="M51" s="70"/>
      <c r="N51" s="70">
        <v>0</v>
      </c>
      <c r="O51" s="70"/>
      <c r="P51" s="1">
        <f t="shared" si="0"/>
        <v>13450.26999999999</v>
      </c>
    </row>
    <row r="52" spans="2:16" ht="13.5" x14ac:dyDescent="0.25">
      <c r="C52" t="s">
        <v>580</v>
      </c>
      <c r="H52" s="70">
        <v>700000</v>
      </c>
      <c r="I52" s="70"/>
      <c r="J52" s="70">
        <v>700000</v>
      </c>
      <c r="K52" s="70"/>
      <c r="L52" s="70">
        <v>700000</v>
      </c>
      <c r="M52" s="70"/>
      <c r="N52" s="70">
        <v>0</v>
      </c>
      <c r="O52" s="70"/>
      <c r="P52" s="1">
        <f t="shared" si="0"/>
        <v>0</v>
      </c>
    </row>
    <row r="53" spans="2:16" ht="13.5" x14ac:dyDescent="0.25">
      <c r="C53" t="s">
        <v>581</v>
      </c>
      <c r="H53" s="70">
        <v>2500000</v>
      </c>
      <c r="I53" s="70"/>
      <c r="J53" s="70">
        <v>2500000</v>
      </c>
      <c r="K53" s="70"/>
      <c r="L53" s="70">
        <v>2401460.89</v>
      </c>
      <c r="M53" s="70"/>
      <c r="N53" s="70">
        <v>0</v>
      </c>
      <c r="O53" s="70"/>
      <c r="P53" s="1">
        <f t="shared" si="0"/>
        <v>98539.10999999987</v>
      </c>
    </row>
    <row r="54" spans="2:16" ht="13.5" x14ac:dyDescent="0.25">
      <c r="C54" t="s">
        <v>582</v>
      </c>
      <c r="H54" s="70">
        <v>700000</v>
      </c>
      <c r="I54" s="70"/>
      <c r="J54" s="70">
        <v>700000</v>
      </c>
      <c r="K54" s="70"/>
      <c r="L54" s="70">
        <v>696082.8</v>
      </c>
      <c r="M54" s="70"/>
      <c r="N54" s="70">
        <v>0</v>
      </c>
      <c r="O54" s="70"/>
      <c r="P54" s="1">
        <f t="shared" si="0"/>
        <v>3917.1999999999534</v>
      </c>
    </row>
    <row r="55" spans="2:16" ht="13.5" x14ac:dyDescent="0.25">
      <c r="C55" t="s">
        <v>583</v>
      </c>
      <c r="H55" s="70">
        <v>500000</v>
      </c>
      <c r="I55" s="70"/>
      <c r="J55" s="70">
        <v>500000</v>
      </c>
      <c r="K55" s="70"/>
      <c r="L55" s="70">
        <v>285069.13</v>
      </c>
      <c r="M55" s="70"/>
      <c r="N55" s="70">
        <v>0</v>
      </c>
      <c r="O55" s="70"/>
      <c r="P55" s="1">
        <f t="shared" si="0"/>
        <v>214930.87</v>
      </c>
    </row>
    <row r="56" spans="2:16" ht="13.5" x14ac:dyDescent="0.25">
      <c r="C56" t="s">
        <v>584</v>
      </c>
      <c r="H56" s="70">
        <v>500000</v>
      </c>
      <c r="I56" s="70"/>
      <c r="J56" s="70">
        <v>500000</v>
      </c>
      <c r="K56" s="70"/>
      <c r="L56" s="70">
        <v>473769.5</v>
      </c>
      <c r="M56" s="70"/>
      <c r="N56" s="70">
        <v>0</v>
      </c>
      <c r="O56" s="70"/>
      <c r="P56" s="1">
        <f t="shared" si="0"/>
        <v>26230.5</v>
      </c>
    </row>
    <row r="57" spans="2:16" ht="13.5" x14ac:dyDescent="0.25">
      <c r="C57" t="s">
        <v>585</v>
      </c>
      <c r="H57" s="70">
        <v>500000</v>
      </c>
      <c r="I57" s="70"/>
      <c r="J57" s="70">
        <v>500000</v>
      </c>
      <c r="K57" s="70"/>
      <c r="L57" s="70">
        <v>0</v>
      </c>
      <c r="M57" s="70"/>
      <c r="N57" s="70">
        <v>0</v>
      </c>
      <c r="O57" s="70"/>
      <c r="P57" s="1">
        <f t="shared" si="0"/>
        <v>500000</v>
      </c>
    </row>
    <row r="58" spans="2:16" ht="13.5" x14ac:dyDescent="0.25">
      <c r="H58" s="70"/>
      <c r="I58" s="70"/>
      <c r="J58" s="70"/>
      <c r="K58" s="70"/>
      <c r="L58" s="70"/>
      <c r="M58" s="70"/>
      <c r="N58" s="70"/>
      <c r="O58" s="70"/>
      <c r="P58" s="1">
        <f t="shared" si="0"/>
        <v>0</v>
      </c>
    </row>
    <row r="59" spans="2:16" ht="13.5" x14ac:dyDescent="0.25">
      <c r="H59" s="70"/>
      <c r="I59" s="70"/>
      <c r="J59" s="70"/>
      <c r="K59" s="70"/>
      <c r="L59" s="70"/>
      <c r="M59" s="70"/>
      <c r="N59" s="70"/>
      <c r="O59" s="70"/>
      <c r="P59" s="1">
        <f t="shared" si="0"/>
        <v>0</v>
      </c>
    </row>
    <row r="60" spans="2:16" ht="13.5" x14ac:dyDescent="0.25">
      <c r="B60" t="s">
        <v>586</v>
      </c>
      <c r="H60" s="70">
        <v>604004</v>
      </c>
      <c r="I60" s="70"/>
      <c r="J60" s="70">
        <v>604004</v>
      </c>
      <c r="K60" s="70"/>
      <c r="L60" s="70">
        <v>0</v>
      </c>
      <c r="M60" s="70"/>
      <c r="N60" s="70">
        <v>0</v>
      </c>
      <c r="O60" s="70"/>
      <c r="P60" s="1">
        <f t="shared" si="0"/>
        <v>604004</v>
      </c>
    </row>
    <row r="61" spans="2:16" ht="13.5" x14ac:dyDescent="0.25">
      <c r="B61" t="s">
        <v>587</v>
      </c>
      <c r="H61" s="70">
        <v>100000</v>
      </c>
      <c r="I61" s="70"/>
      <c r="J61" s="70">
        <v>100000</v>
      </c>
      <c r="K61" s="70"/>
      <c r="L61" s="70">
        <v>0</v>
      </c>
      <c r="M61" s="70"/>
      <c r="N61" s="70">
        <v>0</v>
      </c>
      <c r="O61" s="70"/>
      <c r="P61" s="1">
        <f t="shared" si="0"/>
        <v>100000</v>
      </c>
    </row>
    <row r="62" spans="2:16" ht="13.5" x14ac:dyDescent="0.25">
      <c r="H62" s="70"/>
      <c r="I62" s="70"/>
      <c r="J62" s="70"/>
      <c r="K62" s="70"/>
      <c r="L62" s="70"/>
      <c r="M62" s="70"/>
      <c r="N62" s="70"/>
      <c r="O62" s="70"/>
      <c r="P62" s="70"/>
    </row>
    <row r="63" spans="2:16" ht="13.5" x14ac:dyDescent="0.25">
      <c r="H63" s="70"/>
      <c r="I63" s="70"/>
      <c r="J63" s="70"/>
      <c r="K63" s="70"/>
      <c r="L63" s="70"/>
      <c r="M63" s="70"/>
      <c r="N63" s="70"/>
      <c r="O63" s="70"/>
      <c r="P63" s="70"/>
    </row>
    <row r="64" spans="2:16" x14ac:dyDescent="0.2"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">
      <c r="B65" t="s">
        <v>59</v>
      </c>
      <c r="H65" s="84">
        <f>SUM(H6:H61)</f>
        <v>36990209.440000005</v>
      </c>
      <c r="J65" s="84">
        <f>SUM(J6:J61)</f>
        <v>36990209.440000005</v>
      </c>
      <c r="L65" s="84">
        <f>SUM(L6:L61)</f>
        <v>21625256.48</v>
      </c>
      <c r="N65" s="84">
        <f>SUM(N6:N61)</f>
        <v>0</v>
      </c>
      <c r="P65" s="84">
        <f>SUM(P6:P61)</f>
        <v>15364952.959999995</v>
      </c>
    </row>
    <row r="66" spans="2:16" x14ac:dyDescent="0.2">
      <c r="D66" t="s">
        <v>594</v>
      </c>
      <c r="H66" s="84">
        <f>+[4]NOV30!$I$1966-H65</f>
        <v>464591.99999999255</v>
      </c>
      <c r="J66" s="84">
        <f>+[4]NOV30!$I$1966-J65</f>
        <v>464591.99999999255</v>
      </c>
      <c r="L66" s="84"/>
      <c r="P66" s="84"/>
    </row>
    <row r="67" spans="2:16" x14ac:dyDescent="0.2">
      <c r="J67" s="87">
        <f>+[4]NOV30!$K$1966-J65</f>
        <v>464591.99999999255</v>
      </c>
    </row>
    <row r="72" spans="2:16" x14ac:dyDescent="0.2">
      <c r="D72" t="s">
        <v>588</v>
      </c>
      <c r="H72" t="s">
        <v>589</v>
      </c>
    </row>
  </sheetData>
  <mergeCells count="1"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2"/>
  <sheetViews>
    <sheetView topLeftCell="A37" workbookViewId="0">
      <selection activeCell="J72" sqref="J72"/>
    </sheetView>
  </sheetViews>
  <sheetFormatPr defaultRowHeight="12.75" x14ac:dyDescent="0.2"/>
  <cols>
    <col min="1" max="1" width="0.83203125" customWidth="1"/>
    <col min="2" max="2" width="2.6640625" customWidth="1"/>
    <col min="3" max="3" width="3" customWidth="1"/>
    <col min="4" max="4" width="52.6640625" customWidth="1"/>
    <col min="5" max="5" width="1.6640625" customWidth="1"/>
    <col min="6" max="6" width="7.83203125" bestFit="1" customWidth="1"/>
    <col min="7" max="7" width="2.83203125" customWidth="1"/>
    <col min="8" max="8" width="17.1640625" customWidth="1"/>
    <col min="9" max="9" width="2.83203125" customWidth="1"/>
    <col min="10" max="10" width="17" customWidth="1"/>
    <col min="11" max="11" width="2.33203125" customWidth="1"/>
    <col min="12" max="12" width="17" customWidth="1"/>
    <col min="13" max="13" width="2.83203125" customWidth="1"/>
    <col min="14" max="14" width="15.1640625" customWidth="1"/>
    <col min="15" max="15" width="3.33203125" customWidth="1"/>
    <col min="16" max="16" width="15.83203125" customWidth="1"/>
  </cols>
  <sheetData>
    <row r="1" spans="1:16" x14ac:dyDescent="0.2">
      <c r="B1" t="s">
        <v>517</v>
      </c>
    </row>
    <row r="2" spans="1:16" s="69" customFormat="1" ht="13.5" x14ac:dyDescent="0.25">
      <c r="F2" s="7"/>
      <c r="N2" s="77" t="s">
        <v>6</v>
      </c>
      <c r="P2" s="77" t="s">
        <v>6</v>
      </c>
    </row>
    <row r="3" spans="1:16" s="72" customFormat="1" ht="13.5" x14ac:dyDescent="0.25">
      <c r="A3" s="117" t="s">
        <v>1</v>
      </c>
      <c r="B3" s="117"/>
      <c r="C3" s="117"/>
      <c r="D3" s="117"/>
      <c r="F3" s="10" t="s">
        <v>2</v>
      </c>
      <c r="H3" s="78" t="s">
        <v>3</v>
      </c>
      <c r="J3" s="78" t="s">
        <v>4</v>
      </c>
      <c r="L3" s="78" t="s">
        <v>5</v>
      </c>
      <c r="N3" s="79" t="s">
        <v>3</v>
      </c>
      <c r="P3" s="78" t="s">
        <v>4</v>
      </c>
    </row>
    <row r="5" spans="1:16" x14ac:dyDescent="0.2">
      <c r="B5" s="66" t="s">
        <v>518</v>
      </c>
    </row>
    <row r="6" spans="1:16" x14ac:dyDescent="0.2">
      <c r="C6" t="s">
        <v>8</v>
      </c>
      <c r="H6" s="1">
        <v>35654.71</v>
      </c>
      <c r="I6" s="1"/>
      <c r="J6" s="1">
        <v>35654.71</v>
      </c>
      <c r="K6" s="1"/>
      <c r="L6" s="1">
        <v>35654.71</v>
      </c>
      <c r="M6" s="1"/>
      <c r="N6" s="1">
        <v>0</v>
      </c>
      <c r="O6" s="1"/>
      <c r="P6" s="1">
        <v>0</v>
      </c>
    </row>
    <row r="7" spans="1:16" x14ac:dyDescent="0.2">
      <c r="C7" t="s">
        <v>162</v>
      </c>
      <c r="H7" s="1">
        <v>774.19</v>
      </c>
      <c r="I7" s="1"/>
      <c r="J7" s="1">
        <v>774.19</v>
      </c>
      <c r="K7" s="1"/>
      <c r="L7" s="1">
        <v>774.19</v>
      </c>
      <c r="M7" s="1"/>
      <c r="N7" s="1">
        <v>0</v>
      </c>
      <c r="O7" s="1"/>
      <c r="P7" s="1">
        <v>0</v>
      </c>
    </row>
    <row r="8" spans="1:16" x14ac:dyDescent="0.2">
      <c r="C8" t="s">
        <v>10</v>
      </c>
      <c r="H8" s="1">
        <v>51000</v>
      </c>
      <c r="I8" s="1"/>
      <c r="J8" s="1">
        <v>51000</v>
      </c>
      <c r="K8" s="1"/>
      <c r="L8" s="1">
        <v>51000</v>
      </c>
      <c r="M8" s="1"/>
      <c r="N8" s="1">
        <v>0</v>
      </c>
      <c r="O8" s="1"/>
      <c r="P8" s="1">
        <v>0</v>
      </c>
    </row>
    <row r="9" spans="1:16" x14ac:dyDescent="0.2">
      <c r="C9" t="s">
        <v>164</v>
      </c>
      <c r="H9" s="1">
        <v>4278.57</v>
      </c>
      <c r="I9" s="1"/>
      <c r="J9" s="1">
        <v>4278.57</v>
      </c>
      <c r="K9" s="1"/>
      <c r="L9" s="1">
        <v>4278.57</v>
      </c>
      <c r="M9" s="1"/>
      <c r="N9" s="1">
        <v>0</v>
      </c>
      <c r="O9" s="1"/>
      <c r="P9" s="1">
        <v>0</v>
      </c>
    </row>
    <row r="10" spans="1:16" x14ac:dyDescent="0.2">
      <c r="C10" t="s">
        <v>14</v>
      </c>
      <c r="H10" s="1">
        <v>100</v>
      </c>
      <c r="I10" s="1"/>
      <c r="J10" s="1">
        <v>100</v>
      </c>
      <c r="K10" s="1"/>
      <c r="L10" s="1">
        <v>100</v>
      </c>
      <c r="M10" s="1"/>
      <c r="N10" s="1">
        <v>0</v>
      </c>
      <c r="O10" s="1"/>
      <c r="P10" s="1">
        <v>0</v>
      </c>
    </row>
    <row r="11" spans="1:16" x14ac:dyDescent="0.2">
      <c r="C11" t="s">
        <v>15</v>
      </c>
      <c r="H11" s="1">
        <v>550</v>
      </c>
      <c r="I11" s="1"/>
      <c r="J11" s="1">
        <v>550</v>
      </c>
      <c r="K11" s="1"/>
      <c r="L11" s="1">
        <v>550</v>
      </c>
      <c r="M11" s="1"/>
      <c r="N11" s="1">
        <v>0</v>
      </c>
      <c r="O11" s="1"/>
      <c r="P11" s="1">
        <v>0</v>
      </c>
    </row>
    <row r="12" spans="1:16" x14ac:dyDescent="0.2">
      <c r="C12" t="s">
        <v>165</v>
      </c>
      <c r="H12" s="1">
        <v>100</v>
      </c>
      <c r="I12" s="1"/>
      <c r="J12" s="1">
        <v>100</v>
      </c>
      <c r="K12" s="1"/>
      <c r="L12" s="1">
        <v>100</v>
      </c>
      <c r="M12" s="1"/>
      <c r="N12" s="1">
        <v>0</v>
      </c>
      <c r="O12" s="1"/>
      <c r="P12" s="1">
        <v>0</v>
      </c>
    </row>
    <row r="13" spans="1:16" x14ac:dyDescent="0.2"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B14" s="66" t="s">
        <v>519</v>
      </c>
      <c r="H14" s="1"/>
      <c r="I14" s="1"/>
      <c r="J14" s="1"/>
      <c r="K14" s="1"/>
      <c r="L14" s="1"/>
      <c r="M14" s="1"/>
      <c r="N14" s="1"/>
      <c r="O14" s="1"/>
      <c r="P14" s="1">
        <f t="shared" ref="P14:P67" si="0">+J14-L14</f>
        <v>0</v>
      </c>
    </row>
    <row r="15" spans="1:16" x14ac:dyDescent="0.2">
      <c r="B15" s="66" t="s">
        <v>424</v>
      </c>
      <c r="H15" s="1"/>
      <c r="I15" s="1"/>
      <c r="J15" s="1"/>
      <c r="K15" s="1"/>
      <c r="L15" s="1"/>
      <c r="M15" s="1"/>
      <c r="N15" s="1"/>
      <c r="O15" s="1"/>
      <c r="P15" s="1">
        <f t="shared" si="0"/>
        <v>0</v>
      </c>
    </row>
    <row r="16" spans="1:16" ht="13.5" x14ac:dyDescent="0.25">
      <c r="C16" s="69" t="s">
        <v>520</v>
      </c>
      <c r="H16" s="1">
        <v>695300</v>
      </c>
      <c r="I16" s="1"/>
      <c r="J16" s="1">
        <v>695300</v>
      </c>
      <c r="K16" s="1"/>
      <c r="L16" s="1">
        <v>695144.22</v>
      </c>
      <c r="M16" s="1"/>
      <c r="N16" s="1">
        <v>0</v>
      </c>
      <c r="O16" s="1"/>
      <c r="P16" s="1">
        <f t="shared" si="0"/>
        <v>155.78000000002794</v>
      </c>
    </row>
    <row r="17" spans="2:16" x14ac:dyDescent="0.2">
      <c r="C17" t="s">
        <v>163</v>
      </c>
      <c r="H17" s="1">
        <v>65000</v>
      </c>
      <c r="I17" s="1"/>
      <c r="J17" s="1">
        <v>65000</v>
      </c>
      <c r="K17" s="1"/>
      <c r="L17" s="1">
        <v>38579.019999999997</v>
      </c>
      <c r="M17" s="1"/>
      <c r="N17" s="1">
        <v>0</v>
      </c>
      <c r="O17" s="1"/>
      <c r="P17" s="1">
        <f t="shared" si="0"/>
        <v>26420.980000000003</v>
      </c>
    </row>
    <row r="18" spans="2:16" x14ac:dyDescent="0.2">
      <c r="C18" t="s">
        <v>15</v>
      </c>
      <c r="H18" s="1">
        <v>614411</v>
      </c>
      <c r="I18" s="1"/>
      <c r="J18" s="1">
        <v>614411</v>
      </c>
      <c r="K18" s="1"/>
      <c r="L18" s="1">
        <v>92573.97</v>
      </c>
      <c r="M18" s="1"/>
      <c r="N18" s="1">
        <v>0</v>
      </c>
      <c r="O18" s="1"/>
      <c r="P18" s="1">
        <f t="shared" si="0"/>
        <v>521837.03</v>
      </c>
    </row>
    <row r="19" spans="2:16" x14ac:dyDescent="0.2">
      <c r="C19" t="s">
        <v>521</v>
      </c>
      <c r="H19" s="1">
        <v>589398.92000000004</v>
      </c>
      <c r="I19" s="1"/>
      <c r="J19" s="1">
        <v>589398.92000000004</v>
      </c>
      <c r="K19" s="1"/>
      <c r="L19" s="1">
        <v>391531.89</v>
      </c>
      <c r="M19" s="1"/>
      <c r="N19" s="1">
        <v>0</v>
      </c>
      <c r="O19" s="1"/>
      <c r="P19" s="1">
        <f t="shared" si="0"/>
        <v>197867.03000000003</v>
      </c>
    </row>
    <row r="20" spans="2:16" x14ac:dyDescent="0.2">
      <c r="B20" s="66" t="s">
        <v>426</v>
      </c>
      <c r="H20" s="1"/>
      <c r="I20" s="1"/>
      <c r="J20" s="1"/>
      <c r="K20" s="1"/>
      <c r="L20" s="1"/>
      <c r="M20" s="1"/>
      <c r="N20" s="1"/>
      <c r="O20" s="1"/>
      <c r="P20" s="1">
        <f t="shared" si="0"/>
        <v>0</v>
      </c>
    </row>
    <row r="21" spans="2:16" x14ac:dyDescent="0.2">
      <c r="C21" t="s">
        <v>522</v>
      </c>
      <c r="H21" s="1">
        <v>60000</v>
      </c>
      <c r="I21" s="1"/>
      <c r="J21" s="1">
        <v>60000</v>
      </c>
      <c r="K21" s="1"/>
      <c r="L21" s="1">
        <v>33246.29</v>
      </c>
      <c r="M21" s="1"/>
      <c r="N21" s="1">
        <v>0</v>
      </c>
      <c r="O21" s="1"/>
      <c r="P21" s="1">
        <f t="shared" si="0"/>
        <v>26753.71</v>
      </c>
    </row>
    <row r="22" spans="2:16" x14ac:dyDescent="0.2">
      <c r="C22" t="s">
        <v>523</v>
      </c>
      <c r="H22" s="1">
        <v>4749.5</v>
      </c>
      <c r="I22" s="1"/>
      <c r="J22" s="1">
        <v>4749.5</v>
      </c>
      <c r="K22" s="1"/>
      <c r="L22" s="1">
        <v>4749.5</v>
      </c>
      <c r="M22" s="1"/>
      <c r="N22" s="1">
        <v>0</v>
      </c>
      <c r="O22" s="1"/>
      <c r="P22" s="1">
        <f t="shared" si="0"/>
        <v>0</v>
      </c>
    </row>
    <row r="23" spans="2:16" x14ac:dyDescent="0.2">
      <c r="B23" s="66" t="s">
        <v>524</v>
      </c>
      <c r="H23" s="1"/>
      <c r="I23" s="1"/>
      <c r="J23" s="1"/>
      <c r="K23" s="1"/>
      <c r="L23" s="1"/>
      <c r="M23" s="1"/>
      <c r="N23" s="1"/>
      <c r="O23" s="1"/>
      <c r="P23" s="1">
        <f t="shared" si="0"/>
        <v>0</v>
      </c>
    </row>
    <row r="24" spans="2:16" x14ac:dyDescent="0.2">
      <c r="C24" t="s">
        <v>525</v>
      </c>
      <c r="H24" s="1">
        <v>525000</v>
      </c>
      <c r="I24" s="1"/>
      <c r="J24" s="1">
        <v>525000</v>
      </c>
      <c r="K24" s="1"/>
      <c r="L24" s="1">
        <v>118353</v>
      </c>
      <c r="M24" s="1"/>
      <c r="N24" s="1">
        <v>0</v>
      </c>
      <c r="O24" s="1"/>
      <c r="P24" s="1">
        <f t="shared" si="0"/>
        <v>406647</v>
      </c>
    </row>
    <row r="25" spans="2:16" x14ac:dyDescent="0.2">
      <c r="C25" t="s">
        <v>526</v>
      </c>
      <c r="H25" s="1">
        <v>300000</v>
      </c>
      <c r="I25" s="1"/>
      <c r="J25" s="1">
        <v>300000</v>
      </c>
      <c r="K25" s="1"/>
      <c r="L25" s="1">
        <v>0</v>
      </c>
      <c r="M25" s="1"/>
      <c r="N25" s="1">
        <v>0</v>
      </c>
      <c r="O25" s="1"/>
      <c r="P25" s="1">
        <f t="shared" si="0"/>
        <v>300000</v>
      </c>
    </row>
    <row r="26" spans="2:16" x14ac:dyDescent="0.2">
      <c r="H26" s="1"/>
      <c r="I26" s="1"/>
      <c r="J26" s="1"/>
      <c r="K26" s="1"/>
      <c r="L26" s="1"/>
      <c r="M26" s="1"/>
      <c r="N26" s="1"/>
      <c r="O26" s="1"/>
      <c r="P26" s="1">
        <f t="shared" si="0"/>
        <v>0</v>
      </c>
    </row>
    <row r="27" spans="2:16" x14ac:dyDescent="0.2">
      <c r="B27" s="66" t="s">
        <v>527</v>
      </c>
      <c r="H27" s="1"/>
      <c r="I27" s="1"/>
      <c r="J27" s="1"/>
      <c r="K27" s="1"/>
      <c r="L27" s="1"/>
      <c r="M27" s="1"/>
      <c r="N27" s="1"/>
      <c r="O27" s="1"/>
      <c r="P27" s="1">
        <f t="shared" si="0"/>
        <v>0</v>
      </c>
    </row>
    <row r="28" spans="2:16" x14ac:dyDescent="0.2">
      <c r="B28" s="66" t="s">
        <v>524</v>
      </c>
      <c r="H28" s="1"/>
      <c r="I28" s="1"/>
      <c r="J28" s="1"/>
      <c r="K28" s="1"/>
      <c r="L28" s="1"/>
      <c r="M28" s="1"/>
      <c r="N28" s="1"/>
      <c r="O28" s="1"/>
      <c r="P28" s="1">
        <f t="shared" si="0"/>
        <v>0</v>
      </c>
    </row>
    <row r="29" spans="2:16" x14ac:dyDescent="0.2">
      <c r="C29" t="s">
        <v>528</v>
      </c>
      <c r="H29" s="1">
        <v>176250</v>
      </c>
      <c r="I29" s="1"/>
      <c r="J29" s="1">
        <v>176250</v>
      </c>
      <c r="K29" s="1"/>
      <c r="L29" s="1">
        <v>0</v>
      </c>
      <c r="M29" s="1"/>
      <c r="N29" s="1">
        <v>0</v>
      </c>
      <c r="O29" s="1"/>
      <c r="P29" s="1">
        <f t="shared" si="0"/>
        <v>176250</v>
      </c>
    </row>
    <row r="30" spans="2:16" x14ac:dyDescent="0.2">
      <c r="C30" t="s">
        <v>62</v>
      </c>
      <c r="H30" s="1">
        <v>123750</v>
      </c>
      <c r="I30" s="1"/>
      <c r="J30" s="1">
        <v>123750</v>
      </c>
      <c r="K30" s="1"/>
      <c r="L30" s="1">
        <v>0</v>
      </c>
      <c r="M30" s="1"/>
      <c r="N30" s="1">
        <v>0</v>
      </c>
      <c r="O30" s="1"/>
      <c r="P30" s="1">
        <f t="shared" si="0"/>
        <v>123750</v>
      </c>
    </row>
    <row r="31" spans="2:16" x14ac:dyDescent="0.2">
      <c r="H31" s="1"/>
      <c r="I31" s="1"/>
      <c r="J31" s="1"/>
      <c r="K31" s="1"/>
      <c r="L31" s="1"/>
      <c r="M31" s="1"/>
      <c r="N31" s="1"/>
      <c r="O31" s="1"/>
      <c r="P31" s="1">
        <f t="shared" si="0"/>
        <v>0</v>
      </c>
    </row>
    <row r="32" spans="2:16" x14ac:dyDescent="0.2">
      <c r="B32" s="66" t="s">
        <v>529</v>
      </c>
      <c r="H32" s="1"/>
      <c r="I32" s="1"/>
      <c r="J32" s="1"/>
      <c r="K32" s="1"/>
      <c r="L32" s="1"/>
      <c r="M32" s="1"/>
      <c r="N32" s="1"/>
      <c r="O32" s="1"/>
      <c r="P32" s="1">
        <f t="shared" si="0"/>
        <v>0</v>
      </c>
    </row>
    <row r="33" spans="2:16" x14ac:dyDescent="0.2">
      <c r="C33" t="s">
        <v>127</v>
      </c>
      <c r="H33" s="1">
        <v>300000</v>
      </c>
      <c r="I33" s="1"/>
      <c r="J33" s="1">
        <v>300000</v>
      </c>
      <c r="K33" s="1"/>
      <c r="L33" s="1">
        <v>298500</v>
      </c>
      <c r="M33" s="1"/>
      <c r="N33" s="1">
        <v>0</v>
      </c>
      <c r="O33" s="1"/>
      <c r="P33" s="1">
        <f t="shared" si="0"/>
        <v>1500</v>
      </c>
    </row>
    <row r="34" spans="2:16" x14ac:dyDescent="0.2">
      <c r="C34" t="s">
        <v>334</v>
      </c>
      <c r="H34" s="1">
        <v>2551500</v>
      </c>
      <c r="I34" s="1"/>
      <c r="J34" s="1">
        <v>2551500</v>
      </c>
      <c r="K34" s="1"/>
      <c r="L34" s="1">
        <v>2551500</v>
      </c>
      <c r="M34" s="1"/>
      <c r="N34" s="1">
        <v>0</v>
      </c>
      <c r="O34" s="1"/>
      <c r="P34" s="1">
        <f t="shared" si="0"/>
        <v>0</v>
      </c>
    </row>
    <row r="35" spans="2:16" x14ac:dyDescent="0.2">
      <c r="C35" t="s">
        <v>335</v>
      </c>
      <c r="H35" s="1">
        <v>1530000</v>
      </c>
      <c r="I35" s="1"/>
      <c r="J35" s="1">
        <v>1530000</v>
      </c>
      <c r="K35" s="1"/>
      <c r="L35" s="1">
        <v>0</v>
      </c>
      <c r="M35" s="1"/>
      <c r="N35" s="1">
        <v>0</v>
      </c>
      <c r="O35" s="1"/>
      <c r="P35" s="1">
        <f t="shared" si="0"/>
        <v>1530000</v>
      </c>
    </row>
    <row r="36" spans="2:16" x14ac:dyDescent="0.2">
      <c r="H36" s="1"/>
      <c r="I36" s="1"/>
      <c r="J36" s="1"/>
      <c r="K36" s="1"/>
      <c r="L36" s="1"/>
      <c r="M36" s="1"/>
      <c r="N36" s="1"/>
      <c r="O36" s="1"/>
      <c r="P36" s="1">
        <f t="shared" si="0"/>
        <v>0</v>
      </c>
    </row>
    <row r="37" spans="2:16" x14ac:dyDescent="0.2">
      <c r="B37" s="66" t="s">
        <v>530</v>
      </c>
      <c r="H37" s="1"/>
      <c r="I37" s="1"/>
      <c r="J37" s="1"/>
      <c r="K37" s="1"/>
      <c r="L37" s="1"/>
      <c r="M37" s="1"/>
      <c r="N37" s="1"/>
      <c r="O37" s="1"/>
      <c r="P37" s="1">
        <f t="shared" si="0"/>
        <v>0</v>
      </c>
    </row>
    <row r="38" spans="2:16" x14ac:dyDescent="0.2">
      <c r="C38" t="s">
        <v>63</v>
      </c>
      <c r="H38" s="1">
        <v>685000</v>
      </c>
      <c r="I38" s="1"/>
      <c r="J38" s="1">
        <v>685000</v>
      </c>
      <c r="K38" s="1"/>
      <c r="L38" s="1">
        <v>644882.44999999995</v>
      </c>
      <c r="M38" s="1"/>
      <c r="N38" s="1">
        <v>0</v>
      </c>
      <c r="O38" s="1"/>
      <c r="P38" s="1">
        <f t="shared" si="0"/>
        <v>40117.550000000047</v>
      </c>
    </row>
    <row r="39" spans="2:16" x14ac:dyDescent="0.2">
      <c r="H39" s="1"/>
      <c r="I39" s="1"/>
      <c r="J39" s="1"/>
      <c r="K39" s="1"/>
      <c r="L39" s="1"/>
      <c r="M39" s="1"/>
      <c r="N39" s="1"/>
      <c r="O39" s="1"/>
      <c r="P39" s="1">
        <f t="shared" si="0"/>
        <v>0</v>
      </c>
    </row>
    <row r="40" spans="2:16" x14ac:dyDescent="0.2">
      <c r="B40" s="66" t="s">
        <v>531</v>
      </c>
      <c r="H40" s="1"/>
      <c r="I40" s="1"/>
      <c r="J40" s="1"/>
      <c r="K40" s="1"/>
      <c r="L40" s="1"/>
      <c r="M40" s="1"/>
      <c r="N40" s="1"/>
      <c r="O40" s="1"/>
      <c r="P40" s="1">
        <f t="shared" si="0"/>
        <v>0</v>
      </c>
    </row>
    <row r="41" spans="2:16" x14ac:dyDescent="0.2">
      <c r="C41" t="s">
        <v>532</v>
      </c>
      <c r="H41" s="1">
        <v>11394.3</v>
      </c>
      <c r="I41" s="1"/>
      <c r="J41" s="1">
        <v>11394.3</v>
      </c>
      <c r="K41" s="1"/>
      <c r="L41" s="1">
        <v>10227.94</v>
      </c>
      <c r="M41" s="1"/>
      <c r="N41" s="1">
        <v>0</v>
      </c>
      <c r="O41" s="1"/>
      <c r="P41" s="1">
        <f t="shared" si="0"/>
        <v>1166.3599999999988</v>
      </c>
    </row>
    <row r="42" spans="2:16" x14ac:dyDescent="0.2">
      <c r="C42" t="s">
        <v>533</v>
      </c>
      <c r="H42" s="1">
        <v>10070.24</v>
      </c>
      <c r="I42" s="1"/>
      <c r="J42" s="1">
        <v>10070.24</v>
      </c>
      <c r="K42" s="1"/>
      <c r="L42" s="1">
        <v>9132.4599999999991</v>
      </c>
      <c r="M42" s="1"/>
      <c r="N42" s="1">
        <v>0</v>
      </c>
      <c r="O42" s="1"/>
      <c r="P42" s="1">
        <f t="shared" si="0"/>
        <v>937.78000000000065</v>
      </c>
    </row>
    <row r="43" spans="2:16" x14ac:dyDescent="0.2">
      <c r="C43" t="s">
        <v>534</v>
      </c>
      <c r="H43" s="1">
        <v>1500000</v>
      </c>
      <c r="I43" s="1"/>
      <c r="J43" s="1">
        <v>1500000</v>
      </c>
      <c r="K43" s="1"/>
      <c r="L43" s="1">
        <v>1500000</v>
      </c>
      <c r="M43" s="1"/>
      <c r="N43" s="1">
        <v>0</v>
      </c>
      <c r="O43" s="1"/>
      <c r="P43" s="1">
        <f t="shared" si="0"/>
        <v>0</v>
      </c>
    </row>
    <row r="44" spans="2:16" x14ac:dyDescent="0.2">
      <c r="C44" t="s">
        <v>535</v>
      </c>
      <c r="H44" s="1">
        <v>500000</v>
      </c>
      <c r="I44" s="1"/>
      <c r="J44" s="1">
        <v>500000</v>
      </c>
      <c r="K44" s="1"/>
      <c r="L44" s="1">
        <v>500000</v>
      </c>
      <c r="M44" s="1"/>
      <c r="N44" s="1">
        <v>0</v>
      </c>
      <c r="O44" s="1"/>
      <c r="P44" s="1">
        <f t="shared" si="0"/>
        <v>0</v>
      </c>
    </row>
    <row r="45" spans="2:16" x14ac:dyDescent="0.2">
      <c r="H45" s="1"/>
      <c r="I45" s="1"/>
      <c r="J45" s="1"/>
      <c r="K45" s="1"/>
      <c r="L45" s="1"/>
      <c r="M45" s="1"/>
      <c r="N45" s="1"/>
      <c r="O45" s="1"/>
      <c r="P45" s="1">
        <f t="shared" si="0"/>
        <v>0</v>
      </c>
    </row>
    <row r="46" spans="2:16" x14ac:dyDescent="0.2">
      <c r="B46" s="66" t="s">
        <v>536</v>
      </c>
      <c r="H46" s="1"/>
      <c r="I46" s="1"/>
      <c r="J46" s="1"/>
      <c r="K46" s="1"/>
      <c r="L46" s="1"/>
      <c r="M46" s="1"/>
      <c r="N46" s="1"/>
      <c r="O46" s="1"/>
      <c r="P46" s="1">
        <f t="shared" si="0"/>
        <v>0</v>
      </c>
    </row>
    <row r="47" spans="2:16" x14ac:dyDescent="0.2">
      <c r="C47" t="s">
        <v>42</v>
      </c>
      <c r="H47" s="1">
        <v>38500</v>
      </c>
      <c r="I47" s="1"/>
      <c r="J47" s="1">
        <v>38500</v>
      </c>
      <c r="K47" s="1"/>
      <c r="L47" s="1">
        <v>38500</v>
      </c>
      <c r="M47" s="1"/>
      <c r="N47" s="1">
        <v>0</v>
      </c>
      <c r="O47" s="1"/>
      <c r="P47" s="1">
        <v>0</v>
      </c>
    </row>
    <row r="48" spans="2:16" x14ac:dyDescent="0.2">
      <c r="C48" t="s">
        <v>235</v>
      </c>
      <c r="H48" s="1">
        <v>3500000</v>
      </c>
      <c r="I48" s="1"/>
      <c r="J48" s="1">
        <v>3500000</v>
      </c>
      <c r="K48" s="1"/>
      <c r="L48" s="1">
        <v>2750208</v>
      </c>
      <c r="M48" s="1"/>
      <c r="N48" s="1">
        <v>0</v>
      </c>
      <c r="O48" s="1"/>
      <c r="P48" s="1">
        <f t="shared" si="0"/>
        <v>749792</v>
      </c>
    </row>
    <row r="49" spans="2:16" x14ac:dyDescent="0.2">
      <c r="C49" t="s">
        <v>74</v>
      </c>
      <c r="H49" s="1">
        <v>1000000</v>
      </c>
      <c r="I49" s="1"/>
      <c r="J49" s="1">
        <v>1000000</v>
      </c>
      <c r="K49" s="1"/>
      <c r="L49" s="1">
        <v>127860.02</v>
      </c>
      <c r="M49" s="1"/>
      <c r="N49" s="1"/>
      <c r="O49" s="1"/>
      <c r="P49" s="1">
        <f t="shared" si="0"/>
        <v>872139.98</v>
      </c>
    </row>
    <row r="50" spans="2:16" x14ac:dyDescent="0.2">
      <c r="C50" t="s">
        <v>41</v>
      </c>
      <c r="H50" s="1">
        <v>127860.02</v>
      </c>
      <c r="I50" s="1"/>
      <c r="J50" s="1">
        <v>127860.02</v>
      </c>
      <c r="K50" s="1"/>
      <c r="L50" s="1">
        <v>127860.02</v>
      </c>
      <c r="M50" s="1"/>
      <c r="N50" s="1">
        <v>0</v>
      </c>
      <c r="O50" s="1"/>
      <c r="P50" s="1">
        <v>0</v>
      </c>
    </row>
    <row r="51" spans="2:16" x14ac:dyDescent="0.2">
      <c r="C51" t="s">
        <v>76</v>
      </c>
      <c r="H51" s="1">
        <v>774326</v>
      </c>
      <c r="I51" s="1"/>
      <c r="J51" s="1">
        <v>774326</v>
      </c>
      <c r="K51" s="1"/>
      <c r="L51" s="1">
        <v>774326</v>
      </c>
      <c r="M51" s="1"/>
      <c r="N51" s="1">
        <v>0</v>
      </c>
      <c r="O51" s="1"/>
      <c r="P51" s="1">
        <v>0</v>
      </c>
    </row>
    <row r="52" spans="2:16" x14ac:dyDescent="0.2">
      <c r="H52" s="1"/>
      <c r="I52" s="1"/>
      <c r="J52" s="1"/>
      <c r="K52" s="1"/>
      <c r="L52" s="1"/>
      <c r="M52" s="1"/>
      <c r="N52" s="1"/>
      <c r="O52" s="1"/>
      <c r="P52" s="1">
        <f t="shared" si="0"/>
        <v>0</v>
      </c>
    </row>
    <row r="53" spans="2:16" ht="13.5" customHeight="1" x14ac:dyDescent="0.2">
      <c r="B53" s="66" t="s">
        <v>537</v>
      </c>
      <c r="H53" s="1"/>
      <c r="I53" s="1"/>
      <c r="J53" s="1"/>
      <c r="K53" s="1"/>
      <c r="L53" s="1"/>
      <c r="M53" s="1"/>
      <c r="N53" s="1"/>
      <c r="O53" s="1"/>
      <c r="P53" s="1">
        <f t="shared" si="0"/>
        <v>0</v>
      </c>
    </row>
    <row r="54" spans="2:16" ht="13.5" customHeight="1" x14ac:dyDescent="0.2">
      <c r="B54" s="66"/>
      <c r="C54" t="s">
        <v>457</v>
      </c>
      <c r="H54" s="1" t="s">
        <v>538</v>
      </c>
      <c r="I54" s="1"/>
      <c r="J54" s="1"/>
      <c r="K54" s="1"/>
      <c r="L54" s="1"/>
      <c r="M54" s="1"/>
      <c r="N54" s="1"/>
      <c r="O54" s="1"/>
      <c r="P54" s="1"/>
    </row>
    <row r="55" spans="2:16" x14ac:dyDescent="0.2">
      <c r="H55" s="1"/>
      <c r="I55" s="1"/>
      <c r="J55" s="1"/>
      <c r="K55" s="1"/>
      <c r="L55" s="1"/>
      <c r="M55" s="1"/>
      <c r="N55" s="1"/>
      <c r="O55" s="1"/>
      <c r="P55" s="1">
        <f t="shared" si="0"/>
        <v>0</v>
      </c>
    </row>
    <row r="56" spans="2:16" x14ac:dyDescent="0.2">
      <c r="B56" s="66" t="s">
        <v>539</v>
      </c>
      <c r="H56" s="1"/>
      <c r="I56" s="1"/>
      <c r="J56" s="1"/>
      <c r="K56" s="1"/>
      <c r="L56" s="1"/>
      <c r="M56" s="1"/>
      <c r="N56" s="1"/>
      <c r="O56" s="1"/>
      <c r="P56" s="1">
        <f t="shared" si="0"/>
        <v>0</v>
      </c>
    </row>
    <row r="57" spans="2:16" x14ac:dyDescent="0.2">
      <c r="C57" t="s">
        <v>77</v>
      </c>
      <c r="H57" s="1">
        <v>40000</v>
      </c>
      <c r="I57" s="1"/>
      <c r="J57" s="1">
        <v>40000</v>
      </c>
      <c r="K57" s="1"/>
      <c r="L57" s="1">
        <v>40000</v>
      </c>
      <c r="M57" s="1"/>
      <c r="N57" s="1">
        <v>0</v>
      </c>
      <c r="O57" s="1"/>
      <c r="P57" s="1">
        <f t="shared" si="0"/>
        <v>0</v>
      </c>
    </row>
    <row r="58" spans="2:16" x14ac:dyDescent="0.2">
      <c r="C58" t="s">
        <v>78</v>
      </c>
      <c r="H58" s="1">
        <v>20000</v>
      </c>
      <c r="I58" s="1"/>
      <c r="J58" s="1">
        <v>20000</v>
      </c>
      <c r="K58" s="1"/>
      <c r="L58" s="1">
        <v>20000</v>
      </c>
      <c r="M58" s="1"/>
      <c r="N58" s="1">
        <v>0</v>
      </c>
      <c r="O58" s="1"/>
      <c r="P58" s="1">
        <f t="shared" si="0"/>
        <v>0</v>
      </c>
    </row>
    <row r="59" spans="2:16" x14ac:dyDescent="0.2">
      <c r="H59" s="1"/>
      <c r="I59" s="1"/>
      <c r="J59" s="1"/>
      <c r="K59" s="1"/>
      <c r="L59" s="1"/>
      <c r="M59" s="1"/>
      <c r="N59" s="1"/>
      <c r="O59" s="1"/>
      <c r="P59" s="1">
        <f t="shared" si="0"/>
        <v>0</v>
      </c>
    </row>
    <row r="60" spans="2:16" x14ac:dyDescent="0.2">
      <c r="B60" s="66" t="s">
        <v>540</v>
      </c>
      <c r="H60" s="1"/>
      <c r="I60" s="1"/>
      <c r="J60" s="1"/>
      <c r="K60" s="1"/>
      <c r="L60" s="1"/>
      <c r="M60" s="1"/>
      <c r="N60" s="1"/>
      <c r="O60" s="1"/>
      <c r="P60" s="1">
        <f t="shared" si="0"/>
        <v>0</v>
      </c>
    </row>
    <row r="61" spans="2:16" x14ac:dyDescent="0.2">
      <c r="C61" t="s">
        <v>77</v>
      </c>
      <c r="H61" s="1">
        <v>100000</v>
      </c>
      <c r="I61" s="1"/>
      <c r="J61" s="1">
        <v>100000</v>
      </c>
      <c r="K61" s="1"/>
      <c r="L61" s="1">
        <v>100000</v>
      </c>
      <c r="M61" s="1"/>
      <c r="N61" s="1">
        <v>0</v>
      </c>
      <c r="O61" s="1"/>
      <c r="P61" s="1">
        <f t="shared" si="0"/>
        <v>0</v>
      </c>
    </row>
    <row r="62" spans="2:16" x14ac:dyDescent="0.2">
      <c r="C62" t="s">
        <v>37</v>
      </c>
      <c r="H62" s="1">
        <v>102000</v>
      </c>
      <c r="I62" s="1"/>
      <c r="J62" s="1">
        <v>102000</v>
      </c>
      <c r="K62" s="1"/>
      <c r="L62" s="1">
        <v>102000</v>
      </c>
      <c r="M62" s="1"/>
      <c r="N62" s="1">
        <v>0</v>
      </c>
      <c r="O62" s="1"/>
      <c r="P62" s="1">
        <f t="shared" si="0"/>
        <v>0</v>
      </c>
    </row>
    <row r="63" spans="2:16" x14ac:dyDescent="0.2">
      <c r="C63" t="s">
        <v>36</v>
      </c>
      <c r="H63" s="1">
        <v>11250</v>
      </c>
      <c r="I63" s="1"/>
      <c r="J63" s="1">
        <v>11250</v>
      </c>
      <c r="K63" s="1"/>
      <c r="L63" s="1">
        <v>11250</v>
      </c>
      <c r="M63" s="1"/>
      <c r="N63" s="1">
        <v>0</v>
      </c>
      <c r="O63" s="1"/>
      <c r="P63" s="1">
        <f t="shared" si="0"/>
        <v>0</v>
      </c>
    </row>
    <row r="64" spans="2:16" x14ac:dyDescent="0.2">
      <c r="C64" t="s">
        <v>260</v>
      </c>
      <c r="H64" s="1">
        <v>100000</v>
      </c>
      <c r="I64" s="1"/>
      <c r="J64" s="1">
        <v>100000</v>
      </c>
      <c r="K64" s="1"/>
      <c r="L64" s="1">
        <v>99800</v>
      </c>
      <c r="M64" s="1"/>
      <c r="N64" s="1">
        <v>0</v>
      </c>
      <c r="O64" s="1"/>
      <c r="P64" s="1">
        <f t="shared" si="0"/>
        <v>200</v>
      </c>
    </row>
    <row r="65" spans="2:16" x14ac:dyDescent="0.2">
      <c r="P65" s="1">
        <f t="shared" si="0"/>
        <v>0</v>
      </c>
    </row>
    <row r="66" spans="2:16" x14ac:dyDescent="0.2">
      <c r="B66" s="80" t="s">
        <v>541</v>
      </c>
      <c r="P66" s="1">
        <f t="shared" si="0"/>
        <v>0</v>
      </c>
    </row>
    <row r="67" spans="2:16" x14ac:dyDescent="0.2">
      <c r="C67" t="s">
        <v>289</v>
      </c>
      <c r="H67" s="1">
        <v>8355000</v>
      </c>
      <c r="I67" s="1"/>
      <c r="J67" s="1">
        <v>8355000</v>
      </c>
      <c r="K67" s="1"/>
      <c r="L67" s="1">
        <v>8183566.8600000003</v>
      </c>
      <c r="M67" s="1"/>
      <c r="N67" s="1"/>
      <c r="O67" s="1"/>
      <c r="P67" s="1">
        <f t="shared" si="0"/>
        <v>171433.13999999966</v>
      </c>
    </row>
    <row r="68" spans="2:16" x14ac:dyDescent="0.2">
      <c r="C68" t="s">
        <v>290</v>
      </c>
      <c r="H68" s="1">
        <v>700000</v>
      </c>
      <c r="I68" s="1"/>
      <c r="J68" s="1">
        <v>700000</v>
      </c>
      <c r="K68" s="1"/>
      <c r="L68" s="1">
        <v>0</v>
      </c>
      <c r="M68" s="1"/>
      <c r="N68" s="1"/>
      <c r="O68" s="1"/>
      <c r="P68" s="1">
        <f t="shared" ref="P68" si="1">+J68-L68</f>
        <v>700000</v>
      </c>
    </row>
    <row r="70" spans="2:16" x14ac:dyDescent="0.2">
      <c r="B70" s="66" t="s">
        <v>59</v>
      </c>
      <c r="H70" s="81">
        <f>SUM(H6:H68)</f>
        <v>25203217.449999999</v>
      </c>
      <c r="I70" s="66"/>
      <c r="J70" s="81">
        <f>SUM(J6:J68)</f>
        <v>25203217.449999999</v>
      </c>
      <c r="K70" s="66"/>
      <c r="L70" s="81">
        <f>SUM(L6:L68)</f>
        <v>19356249.109999999</v>
      </c>
      <c r="M70" s="66"/>
      <c r="N70" s="81">
        <f>SUM(N6:N68)</f>
        <v>0</v>
      </c>
      <c r="O70" s="66"/>
      <c r="P70" s="81">
        <f>SUM(P6:P68)</f>
        <v>5846968.3399999989</v>
      </c>
    </row>
    <row r="71" spans="2:16" x14ac:dyDescent="0.2">
      <c r="H71" s="84">
        <f>+[4]NOV30!$I$1967-H70</f>
        <v>1824436.9299999997</v>
      </c>
      <c r="J71" s="84">
        <f>+[4]NOV30!$I$1967-J70</f>
        <v>1824436.9299999997</v>
      </c>
    </row>
    <row r="72" spans="2:16" x14ac:dyDescent="0.2">
      <c r="J72" s="84">
        <f>+[4]NOV30!$K$1967-J70</f>
        <v>1824436.9299999997</v>
      </c>
    </row>
  </sheetData>
  <mergeCells count="1"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topLeftCell="A28" workbookViewId="0">
      <selection activeCell="M76" sqref="M76"/>
    </sheetView>
  </sheetViews>
  <sheetFormatPr defaultRowHeight="12.75" x14ac:dyDescent="0.2"/>
  <cols>
    <col min="1" max="1" width="4.6640625" customWidth="1"/>
    <col min="6" max="6" width="1.33203125" customWidth="1"/>
    <col min="7" max="7" width="17.83203125" style="1" bestFit="1" customWidth="1"/>
    <col min="8" max="8" width="1.5" style="1" customWidth="1"/>
    <col min="9" max="9" width="13.83203125" style="1" customWidth="1"/>
    <col min="10" max="10" width="2" style="1" customWidth="1"/>
    <col min="11" max="11" width="14" style="1" bestFit="1" customWidth="1"/>
    <col min="12" max="12" width="2.33203125" style="1" customWidth="1"/>
    <col min="13" max="13" width="17.83203125" style="1" bestFit="1" customWidth="1"/>
    <col min="14" max="14" width="1.33203125" style="1" customWidth="1"/>
    <col min="15" max="15" width="13.83203125" style="1" bestFit="1" customWidth="1"/>
  </cols>
  <sheetData>
    <row r="1" spans="1:15" x14ac:dyDescent="0.2">
      <c r="A1" t="s">
        <v>147</v>
      </c>
    </row>
    <row r="3" spans="1:15" ht="13.5" x14ac:dyDescent="0.25">
      <c r="A3" s="69"/>
      <c r="B3" s="69"/>
      <c r="C3" s="69"/>
      <c r="D3" s="69"/>
      <c r="E3" s="7"/>
      <c r="F3" s="69"/>
      <c r="G3" s="70"/>
      <c r="H3" s="70"/>
      <c r="I3" s="70"/>
      <c r="J3" s="70"/>
      <c r="K3" s="70"/>
      <c r="L3" s="70"/>
      <c r="M3" s="71" t="s">
        <v>6</v>
      </c>
      <c r="N3" s="70"/>
      <c r="O3" s="71" t="s">
        <v>6</v>
      </c>
    </row>
    <row r="4" spans="1:15" ht="13.5" x14ac:dyDescent="0.25">
      <c r="A4" s="117" t="s">
        <v>1</v>
      </c>
      <c r="B4" s="117"/>
      <c r="C4" s="117"/>
      <c r="D4" s="72"/>
      <c r="E4" s="10" t="s">
        <v>2</v>
      </c>
      <c r="F4" s="72"/>
      <c r="G4" s="73" t="s">
        <v>3</v>
      </c>
      <c r="H4" s="74"/>
      <c r="I4" s="73" t="s">
        <v>4</v>
      </c>
      <c r="J4" s="74"/>
      <c r="K4" s="73" t="s">
        <v>5</v>
      </c>
      <c r="L4" s="74"/>
      <c r="M4" s="75" t="s">
        <v>3</v>
      </c>
      <c r="N4" s="74"/>
      <c r="O4" s="73" t="s">
        <v>4</v>
      </c>
    </row>
    <row r="6" spans="1:15" x14ac:dyDescent="0.2">
      <c r="A6" t="s">
        <v>493</v>
      </c>
    </row>
    <row r="7" spans="1:15" x14ac:dyDescent="0.2">
      <c r="B7" t="s">
        <v>494</v>
      </c>
      <c r="G7" s="1">
        <v>596775.81999999995</v>
      </c>
      <c r="I7" s="1">
        <v>596775.81999999995</v>
      </c>
      <c r="K7" s="1">
        <v>516775.82</v>
      </c>
      <c r="M7" s="1">
        <v>0</v>
      </c>
      <c r="O7" s="1">
        <f>+I7-K7</f>
        <v>79999.999999999942</v>
      </c>
    </row>
    <row r="8" spans="1:15" x14ac:dyDescent="0.2">
      <c r="B8" t="s">
        <v>495</v>
      </c>
      <c r="G8" s="1">
        <v>2080000</v>
      </c>
      <c r="I8" s="1">
        <v>2080000</v>
      </c>
      <c r="K8" s="1">
        <v>2080000</v>
      </c>
      <c r="M8" s="1">
        <v>0</v>
      </c>
      <c r="O8" s="1">
        <f t="shared" ref="O8:O69" si="0">+I8-K8</f>
        <v>0</v>
      </c>
    </row>
    <row r="9" spans="1:15" x14ac:dyDescent="0.2">
      <c r="O9" s="1">
        <f t="shared" si="0"/>
        <v>0</v>
      </c>
    </row>
    <row r="10" spans="1:15" x14ac:dyDescent="0.2">
      <c r="A10" t="s">
        <v>496</v>
      </c>
      <c r="O10" s="1">
        <f t="shared" si="0"/>
        <v>0</v>
      </c>
    </row>
    <row r="11" spans="1:15" x14ac:dyDescent="0.2">
      <c r="B11" t="s">
        <v>494</v>
      </c>
      <c r="G11" s="1">
        <v>1169000</v>
      </c>
      <c r="I11" s="1">
        <v>1169000</v>
      </c>
      <c r="K11" s="1">
        <v>1168998.43</v>
      </c>
      <c r="M11" s="1">
        <v>0</v>
      </c>
      <c r="O11" s="1">
        <f t="shared" si="0"/>
        <v>1.5700000000651926</v>
      </c>
    </row>
    <row r="12" spans="1:15" x14ac:dyDescent="0.2">
      <c r="B12" t="s">
        <v>495</v>
      </c>
      <c r="G12" s="1">
        <v>350000</v>
      </c>
      <c r="I12" s="1">
        <v>350000</v>
      </c>
      <c r="K12" s="1">
        <v>325965.94</v>
      </c>
      <c r="M12" s="1">
        <v>0</v>
      </c>
      <c r="O12" s="1">
        <f t="shared" si="0"/>
        <v>24034.059999999998</v>
      </c>
    </row>
    <row r="13" spans="1:15" x14ac:dyDescent="0.2">
      <c r="O13" s="1">
        <f t="shared" si="0"/>
        <v>0</v>
      </c>
    </row>
    <row r="14" spans="1:15" x14ac:dyDescent="0.2">
      <c r="A14" t="s">
        <v>497</v>
      </c>
      <c r="O14" s="1">
        <f t="shared" si="0"/>
        <v>0</v>
      </c>
    </row>
    <row r="15" spans="1:15" x14ac:dyDescent="0.2">
      <c r="B15" t="s">
        <v>494</v>
      </c>
      <c r="G15" s="1">
        <v>18000</v>
      </c>
      <c r="I15" s="1">
        <v>18000</v>
      </c>
      <c r="K15" s="1">
        <v>17999.169999999998</v>
      </c>
      <c r="M15" s="1">
        <v>0</v>
      </c>
      <c r="O15" s="1">
        <f t="shared" si="0"/>
        <v>0.83000000000174623</v>
      </c>
    </row>
    <row r="16" spans="1:15" x14ac:dyDescent="0.2">
      <c r="B16" t="s">
        <v>495</v>
      </c>
      <c r="G16" s="1">
        <v>360000</v>
      </c>
      <c r="I16" s="1">
        <v>360000</v>
      </c>
      <c r="K16" s="1">
        <v>359960.03</v>
      </c>
      <c r="M16" s="1">
        <v>0</v>
      </c>
      <c r="O16" s="1">
        <f t="shared" si="0"/>
        <v>39.96999999997206</v>
      </c>
    </row>
    <row r="17" spans="1:16" x14ac:dyDescent="0.2">
      <c r="O17" s="1">
        <f t="shared" si="0"/>
        <v>0</v>
      </c>
    </row>
    <row r="18" spans="1:16" x14ac:dyDescent="0.2">
      <c r="A18" t="s">
        <v>498</v>
      </c>
      <c r="O18" s="1">
        <f t="shared" si="0"/>
        <v>0</v>
      </c>
    </row>
    <row r="19" spans="1:16" x14ac:dyDescent="0.2">
      <c r="B19" t="s">
        <v>495</v>
      </c>
      <c r="G19" s="1">
        <v>50000</v>
      </c>
      <c r="I19" s="1">
        <v>50000</v>
      </c>
      <c r="K19" s="1">
        <v>50000</v>
      </c>
      <c r="M19" s="1">
        <v>0</v>
      </c>
      <c r="O19" s="1">
        <f t="shared" si="0"/>
        <v>0</v>
      </c>
    </row>
    <row r="20" spans="1:16" x14ac:dyDescent="0.2">
      <c r="O20" s="1">
        <f t="shared" si="0"/>
        <v>0</v>
      </c>
    </row>
    <row r="21" spans="1:16" x14ac:dyDescent="0.2">
      <c r="A21" t="s">
        <v>425</v>
      </c>
      <c r="O21" s="1">
        <f t="shared" si="0"/>
        <v>0</v>
      </c>
    </row>
    <row r="22" spans="1:16" ht="13.5" x14ac:dyDescent="0.25">
      <c r="B22" t="s">
        <v>499</v>
      </c>
      <c r="G22" s="16">
        <v>264608.64000000001</v>
      </c>
      <c r="H22" s="16"/>
      <c r="I22" s="16">
        <v>264608.64000000001</v>
      </c>
      <c r="J22" s="16"/>
      <c r="K22" s="16">
        <v>264608.64000000001</v>
      </c>
      <c r="L22" s="16"/>
      <c r="M22" s="16">
        <v>0</v>
      </c>
      <c r="N22" s="16"/>
      <c r="O22" s="1">
        <f t="shared" si="0"/>
        <v>0</v>
      </c>
    </row>
    <row r="23" spans="1:16" ht="13.5" x14ac:dyDescent="0.25">
      <c r="B23" t="s">
        <v>418</v>
      </c>
      <c r="G23" s="16">
        <v>15000000</v>
      </c>
      <c r="H23" s="16"/>
      <c r="I23" s="16">
        <v>15000000</v>
      </c>
      <c r="J23" s="16"/>
      <c r="K23" s="16">
        <v>12759206.43</v>
      </c>
      <c r="L23" s="16"/>
      <c r="M23" s="16">
        <v>0</v>
      </c>
      <c r="N23" s="16"/>
      <c r="O23" s="1">
        <f t="shared" si="0"/>
        <v>2240793.5700000003</v>
      </c>
    </row>
    <row r="24" spans="1:16" ht="13.5" x14ac:dyDescent="0.25">
      <c r="B24" t="s">
        <v>441</v>
      </c>
      <c r="C24" t="s">
        <v>450</v>
      </c>
      <c r="G24" s="16">
        <v>39600</v>
      </c>
      <c r="H24" s="16"/>
      <c r="I24" s="16">
        <v>39600</v>
      </c>
      <c r="J24" s="16"/>
      <c r="K24" s="16">
        <v>39600</v>
      </c>
      <c r="L24" s="16"/>
      <c r="M24" s="16">
        <v>0</v>
      </c>
      <c r="N24" s="16"/>
      <c r="O24" s="1">
        <f t="shared" si="0"/>
        <v>0</v>
      </c>
    </row>
    <row r="25" spans="1:16" x14ac:dyDescent="0.2">
      <c r="B25" t="s">
        <v>500</v>
      </c>
      <c r="G25" s="1">
        <v>3000000</v>
      </c>
      <c r="M25" s="1">
        <v>3000000</v>
      </c>
      <c r="O25" s="1">
        <f t="shared" si="0"/>
        <v>0</v>
      </c>
      <c r="P25" s="1"/>
    </row>
    <row r="26" spans="1:16" x14ac:dyDescent="0.2">
      <c r="B26" t="s">
        <v>501</v>
      </c>
      <c r="G26" s="1">
        <v>3080256.77</v>
      </c>
      <c r="M26" s="1">
        <v>3080256.77</v>
      </c>
      <c r="O26" s="1">
        <f t="shared" si="0"/>
        <v>0</v>
      </c>
      <c r="P26" s="1"/>
    </row>
    <row r="27" spans="1:16" x14ac:dyDescent="0.2">
      <c r="O27" s="1">
        <f t="shared" si="0"/>
        <v>0</v>
      </c>
      <c r="P27" s="1"/>
    </row>
    <row r="28" spans="1:16" x14ac:dyDescent="0.2">
      <c r="A28" t="s">
        <v>448</v>
      </c>
      <c r="O28" s="1">
        <f t="shared" si="0"/>
        <v>0</v>
      </c>
      <c r="P28" s="1"/>
    </row>
    <row r="29" spans="1:16" x14ac:dyDescent="0.2">
      <c r="B29" t="s">
        <v>418</v>
      </c>
      <c r="G29" s="1">
        <v>2500000</v>
      </c>
      <c r="I29" s="1">
        <v>2500000</v>
      </c>
      <c r="K29" s="1">
        <v>898860.02</v>
      </c>
      <c r="M29" s="1">
        <v>0</v>
      </c>
      <c r="O29" s="1">
        <f t="shared" si="0"/>
        <v>1601139.98</v>
      </c>
    </row>
    <row r="30" spans="1:16" x14ac:dyDescent="0.2">
      <c r="B30" t="s">
        <v>502</v>
      </c>
      <c r="G30" s="1">
        <v>98000</v>
      </c>
      <c r="I30" s="1">
        <v>98000</v>
      </c>
      <c r="K30" s="1">
        <v>98000</v>
      </c>
      <c r="M30" s="1">
        <v>0</v>
      </c>
      <c r="O30" s="1">
        <f t="shared" si="0"/>
        <v>0</v>
      </c>
    </row>
    <row r="31" spans="1:16" x14ac:dyDescent="0.2">
      <c r="O31" s="1">
        <f t="shared" si="0"/>
        <v>0</v>
      </c>
    </row>
    <row r="32" spans="1:16" x14ac:dyDescent="0.2">
      <c r="A32" t="s">
        <v>464</v>
      </c>
      <c r="O32" s="1">
        <f t="shared" si="0"/>
        <v>0</v>
      </c>
    </row>
    <row r="33" spans="1:15" x14ac:dyDescent="0.2">
      <c r="B33" t="s">
        <v>494</v>
      </c>
      <c r="G33" s="1">
        <v>150000</v>
      </c>
      <c r="I33" s="1">
        <v>150000</v>
      </c>
      <c r="K33" s="1">
        <v>150000</v>
      </c>
      <c r="M33" s="1">
        <v>0</v>
      </c>
      <c r="O33" s="1">
        <f t="shared" si="0"/>
        <v>0</v>
      </c>
    </row>
    <row r="34" spans="1:15" x14ac:dyDescent="0.2">
      <c r="O34" s="1">
        <f t="shared" si="0"/>
        <v>0</v>
      </c>
    </row>
    <row r="35" spans="1:15" x14ac:dyDescent="0.2">
      <c r="A35" t="s">
        <v>449</v>
      </c>
      <c r="O35" s="1">
        <f t="shared" si="0"/>
        <v>0</v>
      </c>
    </row>
    <row r="36" spans="1:15" x14ac:dyDescent="0.2">
      <c r="B36" t="s">
        <v>494</v>
      </c>
      <c r="G36" s="1">
        <v>280000</v>
      </c>
      <c r="I36" s="1">
        <v>280000</v>
      </c>
      <c r="K36" s="1">
        <v>279447.07</v>
      </c>
      <c r="M36" s="1">
        <v>0</v>
      </c>
      <c r="O36" s="1">
        <f t="shared" si="0"/>
        <v>552.92999999999302</v>
      </c>
    </row>
    <row r="37" spans="1:15" x14ac:dyDescent="0.2">
      <c r="B37" t="s">
        <v>451</v>
      </c>
      <c r="G37" s="1">
        <v>1023480.41</v>
      </c>
      <c r="I37" s="1">
        <v>1023480.41</v>
      </c>
      <c r="K37" s="1">
        <v>1020518.64</v>
      </c>
      <c r="M37" s="1">
        <v>0</v>
      </c>
      <c r="O37" s="1">
        <f t="shared" si="0"/>
        <v>2961.7700000000186</v>
      </c>
    </row>
    <row r="38" spans="1:15" x14ac:dyDescent="0.2">
      <c r="B38" t="s">
        <v>503</v>
      </c>
      <c r="C38" t="s">
        <v>504</v>
      </c>
      <c r="G38" s="1">
        <v>230000</v>
      </c>
      <c r="I38" s="1">
        <v>230000</v>
      </c>
      <c r="K38" s="1">
        <v>229977</v>
      </c>
      <c r="M38" s="1">
        <v>0</v>
      </c>
      <c r="O38" s="1">
        <f t="shared" si="0"/>
        <v>23</v>
      </c>
    </row>
    <row r="39" spans="1:15" x14ac:dyDescent="0.2">
      <c r="B39" t="s">
        <v>505</v>
      </c>
      <c r="G39" s="1">
        <v>30000</v>
      </c>
      <c r="I39" s="1">
        <v>30000</v>
      </c>
      <c r="K39" s="1">
        <v>28800</v>
      </c>
      <c r="M39" s="1">
        <v>0</v>
      </c>
      <c r="O39" s="1">
        <f t="shared" si="0"/>
        <v>1200</v>
      </c>
    </row>
    <row r="40" spans="1:15" x14ac:dyDescent="0.2">
      <c r="B40" t="s">
        <v>506</v>
      </c>
      <c r="G40" s="1">
        <v>460500</v>
      </c>
      <c r="I40" s="1">
        <v>460500</v>
      </c>
      <c r="K40" s="1">
        <v>0</v>
      </c>
      <c r="M40" s="1">
        <v>0</v>
      </c>
      <c r="O40" s="1">
        <f t="shared" si="0"/>
        <v>460500</v>
      </c>
    </row>
    <row r="41" spans="1:15" x14ac:dyDescent="0.2">
      <c r="O41" s="1">
        <f t="shared" si="0"/>
        <v>0</v>
      </c>
    </row>
    <row r="42" spans="1:15" x14ac:dyDescent="0.2">
      <c r="A42" t="s">
        <v>456</v>
      </c>
      <c r="O42" s="1">
        <f t="shared" si="0"/>
        <v>0</v>
      </c>
    </row>
    <row r="43" spans="1:15" x14ac:dyDescent="0.2">
      <c r="B43" t="s">
        <v>506</v>
      </c>
      <c r="G43" s="1">
        <v>300000</v>
      </c>
      <c r="I43" s="1">
        <v>300000</v>
      </c>
      <c r="K43" s="1">
        <v>0</v>
      </c>
      <c r="M43" s="1">
        <v>0</v>
      </c>
      <c r="O43" s="1">
        <f t="shared" si="0"/>
        <v>300000</v>
      </c>
    </row>
    <row r="44" spans="1:15" x14ac:dyDescent="0.2">
      <c r="O44" s="1">
        <f t="shared" si="0"/>
        <v>0</v>
      </c>
    </row>
    <row r="45" spans="1:15" x14ac:dyDescent="0.2">
      <c r="A45" t="s">
        <v>465</v>
      </c>
      <c r="O45" s="1">
        <f t="shared" si="0"/>
        <v>0</v>
      </c>
    </row>
    <row r="46" spans="1:15" x14ac:dyDescent="0.2">
      <c r="B46" t="s">
        <v>494</v>
      </c>
      <c r="G46" s="1">
        <v>150000</v>
      </c>
      <c r="I46" s="1">
        <v>150000</v>
      </c>
      <c r="K46" s="1">
        <v>139542.57999999999</v>
      </c>
      <c r="M46" s="1">
        <v>0</v>
      </c>
      <c r="O46" s="1">
        <f t="shared" si="0"/>
        <v>10457.420000000013</v>
      </c>
    </row>
    <row r="47" spans="1:15" x14ac:dyDescent="0.2">
      <c r="O47" s="1">
        <f t="shared" si="0"/>
        <v>0</v>
      </c>
    </row>
    <row r="48" spans="1:15" x14ac:dyDescent="0.2">
      <c r="A48" t="s">
        <v>471</v>
      </c>
      <c r="O48" s="1">
        <f t="shared" si="0"/>
        <v>0</v>
      </c>
    </row>
    <row r="49" spans="1:15" x14ac:dyDescent="0.2">
      <c r="B49" t="s">
        <v>415</v>
      </c>
      <c r="C49" t="s">
        <v>507</v>
      </c>
      <c r="G49" s="1">
        <v>300000</v>
      </c>
      <c r="I49" s="1">
        <v>300000</v>
      </c>
      <c r="K49" s="1">
        <v>300000</v>
      </c>
      <c r="M49" s="1">
        <v>0</v>
      </c>
      <c r="O49" s="1">
        <f t="shared" si="0"/>
        <v>0</v>
      </c>
    </row>
    <row r="50" spans="1:15" x14ac:dyDescent="0.2">
      <c r="O50" s="1">
        <f t="shared" si="0"/>
        <v>0</v>
      </c>
    </row>
    <row r="51" spans="1:15" x14ac:dyDescent="0.2">
      <c r="A51" t="s">
        <v>468</v>
      </c>
      <c r="O51" s="1">
        <f t="shared" si="0"/>
        <v>0</v>
      </c>
    </row>
    <row r="52" spans="1:15" ht="13.5" x14ac:dyDescent="0.25">
      <c r="B52" t="s">
        <v>422</v>
      </c>
      <c r="C52" t="s">
        <v>508</v>
      </c>
      <c r="G52" s="16">
        <v>499765.8</v>
      </c>
      <c r="H52" s="16"/>
      <c r="I52" s="16">
        <v>499765.8</v>
      </c>
      <c r="J52" s="16"/>
      <c r="K52" s="16">
        <v>499350</v>
      </c>
      <c r="L52" s="16"/>
      <c r="M52" s="16">
        <v>0</v>
      </c>
      <c r="N52" s="16"/>
      <c r="O52" s="1">
        <f t="shared" si="0"/>
        <v>415.79999999998836</v>
      </c>
    </row>
    <row r="53" spans="1:15" x14ac:dyDescent="0.2">
      <c r="O53" s="1">
        <f t="shared" si="0"/>
        <v>0</v>
      </c>
    </row>
    <row r="54" spans="1:15" x14ac:dyDescent="0.2">
      <c r="A54" t="s">
        <v>472</v>
      </c>
      <c r="O54" s="1">
        <f t="shared" si="0"/>
        <v>0</v>
      </c>
    </row>
    <row r="55" spans="1:15" x14ac:dyDescent="0.2">
      <c r="B55" t="s">
        <v>418</v>
      </c>
      <c r="G55" s="1">
        <v>7485.72</v>
      </c>
      <c r="I55" s="1">
        <v>0</v>
      </c>
      <c r="K55" s="1">
        <v>0</v>
      </c>
      <c r="M55" s="1">
        <v>7485.72</v>
      </c>
      <c r="O55" s="1">
        <f t="shared" si="0"/>
        <v>0</v>
      </c>
    </row>
    <row r="56" spans="1:15" x14ac:dyDescent="0.2">
      <c r="O56" s="1">
        <f t="shared" si="0"/>
        <v>0</v>
      </c>
    </row>
    <row r="57" spans="1:15" x14ac:dyDescent="0.2">
      <c r="A57" t="s">
        <v>478</v>
      </c>
      <c r="B57" t="s">
        <v>451</v>
      </c>
      <c r="G57" s="1">
        <v>430000</v>
      </c>
      <c r="I57" s="1">
        <v>430000</v>
      </c>
      <c r="K57" s="1">
        <v>430000</v>
      </c>
      <c r="M57" s="1">
        <v>0</v>
      </c>
      <c r="O57" s="1">
        <f t="shared" si="0"/>
        <v>0</v>
      </c>
    </row>
    <row r="58" spans="1:15" x14ac:dyDescent="0.2">
      <c r="O58" s="1">
        <f t="shared" si="0"/>
        <v>0</v>
      </c>
    </row>
    <row r="59" spans="1:15" x14ac:dyDescent="0.2">
      <c r="A59" t="s">
        <v>509</v>
      </c>
      <c r="O59" s="1">
        <f t="shared" si="0"/>
        <v>0</v>
      </c>
    </row>
    <row r="60" spans="1:15" ht="13.5" x14ac:dyDescent="0.25">
      <c r="B60" t="s">
        <v>510</v>
      </c>
      <c r="G60" s="16">
        <v>2300000</v>
      </c>
      <c r="H60" s="16"/>
      <c r="I60" s="16">
        <v>2300000</v>
      </c>
      <c r="J60" s="16"/>
      <c r="K60" s="16">
        <v>2300000</v>
      </c>
      <c r="L60" s="16"/>
      <c r="M60" s="16">
        <v>0</v>
      </c>
      <c r="N60" s="16"/>
      <c r="O60" s="1">
        <f t="shared" si="0"/>
        <v>0</v>
      </c>
    </row>
    <row r="61" spans="1:15" ht="13.5" x14ac:dyDescent="0.25">
      <c r="B61" t="s">
        <v>511</v>
      </c>
      <c r="G61" s="16">
        <v>500000</v>
      </c>
      <c r="H61" s="16"/>
      <c r="I61" s="16">
        <v>500000</v>
      </c>
      <c r="J61" s="16"/>
      <c r="K61" s="16">
        <v>500000</v>
      </c>
      <c r="L61" s="16"/>
      <c r="M61" s="16">
        <v>0</v>
      </c>
      <c r="N61" s="16"/>
      <c r="O61" s="1">
        <f t="shared" si="0"/>
        <v>0</v>
      </c>
    </row>
    <row r="62" spans="1:15" ht="13.5" x14ac:dyDescent="0.25">
      <c r="B62" t="s">
        <v>512</v>
      </c>
      <c r="G62" s="16">
        <v>5628522.5</v>
      </c>
      <c r="H62" s="16"/>
      <c r="I62" s="16">
        <v>5628522.5</v>
      </c>
      <c r="J62" s="16"/>
      <c r="K62" s="16">
        <v>5100000</v>
      </c>
      <c r="L62" s="16"/>
      <c r="M62" s="16">
        <v>0</v>
      </c>
      <c r="N62" s="16"/>
      <c r="O62" s="1">
        <f t="shared" si="0"/>
        <v>528522.5</v>
      </c>
    </row>
    <row r="63" spans="1:15" ht="13.5" x14ac:dyDescent="0.25">
      <c r="B63" t="s">
        <v>513</v>
      </c>
      <c r="G63" s="16">
        <v>3000000</v>
      </c>
      <c r="H63" s="16"/>
      <c r="I63" s="16">
        <v>3000000</v>
      </c>
      <c r="J63" s="16"/>
      <c r="K63" s="16">
        <v>0</v>
      </c>
      <c r="L63" s="16"/>
      <c r="M63" s="16">
        <v>0</v>
      </c>
      <c r="N63" s="16"/>
      <c r="O63" s="1">
        <f t="shared" si="0"/>
        <v>3000000</v>
      </c>
    </row>
    <row r="64" spans="1:15" ht="13.5" x14ac:dyDescent="0.25">
      <c r="B64" t="s">
        <v>460</v>
      </c>
      <c r="G64" s="16">
        <v>2000000</v>
      </c>
      <c r="H64" s="16"/>
      <c r="I64" s="16">
        <v>2000000</v>
      </c>
      <c r="J64" s="16"/>
      <c r="K64" s="16">
        <v>2000000</v>
      </c>
      <c r="L64" s="16"/>
      <c r="M64" s="16">
        <v>0</v>
      </c>
      <c r="N64" s="16"/>
      <c r="O64" s="1">
        <f t="shared" si="0"/>
        <v>0</v>
      </c>
    </row>
    <row r="65" spans="1:15" ht="13.5" x14ac:dyDescent="0.25">
      <c r="B65" t="s">
        <v>514</v>
      </c>
      <c r="G65" s="16">
        <v>1536104.77</v>
      </c>
      <c r="H65" s="16"/>
      <c r="I65" s="16">
        <v>1536104.77</v>
      </c>
      <c r="J65" s="16"/>
      <c r="K65" s="16">
        <v>698822</v>
      </c>
      <c r="L65" s="16"/>
      <c r="M65" s="16">
        <v>0</v>
      </c>
      <c r="N65" s="16"/>
      <c r="O65" s="1">
        <f t="shared" si="0"/>
        <v>837282.77</v>
      </c>
    </row>
    <row r="66" spans="1:15" ht="13.5" x14ac:dyDescent="0.25">
      <c r="B66" t="s">
        <v>515</v>
      </c>
      <c r="G66" s="16">
        <v>85437.45</v>
      </c>
      <c r="H66" s="16"/>
      <c r="I66" s="16">
        <v>85437.45</v>
      </c>
      <c r="J66" s="16"/>
      <c r="K66" s="16">
        <v>0</v>
      </c>
      <c r="L66" s="16"/>
      <c r="M66" s="16">
        <v>0</v>
      </c>
      <c r="N66" s="16"/>
      <c r="O66" s="1">
        <f t="shared" si="0"/>
        <v>85437.45</v>
      </c>
    </row>
    <row r="67" spans="1:15" x14ac:dyDescent="0.2">
      <c r="B67" s="76">
        <v>0.3</v>
      </c>
      <c r="G67" s="1">
        <v>36616.050000000003</v>
      </c>
      <c r="I67" s="1">
        <v>36616.050000000003</v>
      </c>
      <c r="K67" s="1">
        <v>0</v>
      </c>
      <c r="M67" s="1">
        <v>0</v>
      </c>
      <c r="O67" s="1">
        <f t="shared" si="0"/>
        <v>36616.050000000003</v>
      </c>
    </row>
    <row r="68" spans="1:15" x14ac:dyDescent="0.2">
      <c r="O68" s="1">
        <f t="shared" si="0"/>
        <v>0</v>
      </c>
    </row>
    <row r="69" spans="1:15" ht="13.5" x14ac:dyDescent="0.25">
      <c r="A69" s="76">
        <v>0.2</v>
      </c>
      <c r="B69" t="s">
        <v>516</v>
      </c>
      <c r="G69" s="16">
        <v>28214</v>
      </c>
      <c r="H69" s="16"/>
      <c r="I69" s="16">
        <v>0</v>
      </c>
      <c r="J69" s="16"/>
      <c r="K69" s="16">
        <v>0</v>
      </c>
      <c r="L69" s="16"/>
      <c r="M69" s="16">
        <v>28214</v>
      </c>
      <c r="N69" s="16"/>
      <c r="O69" s="1">
        <f t="shared" si="0"/>
        <v>0</v>
      </c>
    </row>
    <row r="72" spans="1:15" x14ac:dyDescent="0.2">
      <c r="G72" s="1">
        <f>SUM(G7:G69)</f>
        <v>47582367.93</v>
      </c>
      <c r="I72" s="1">
        <f>SUM(I7:I69)</f>
        <v>41466411.440000005</v>
      </c>
      <c r="K72" s="1">
        <f>SUM(K7:K69)</f>
        <v>32256431.77</v>
      </c>
      <c r="M72" s="1">
        <f>SUM(M7:M69)</f>
        <v>6115956.4899999993</v>
      </c>
      <c r="O72" s="1">
        <f>SUM(O7:O69)</f>
        <v>9209979.6699999999</v>
      </c>
    </row>
    <row r="73" spans="1:15" x14ac:dyDescent="0.2">
      <c r="G73" s="1">
        <f>+[4]sb3!$G$73-G72</f>
        <v>-1798228.1199999973</v>
      </c>
      <c r="I73" s="1">
        <f>+[4]sb3!$I$73-I72</f>
        <v>-2264844.1700000018</v>
      </c>
      <c r="M73" s="1">
        <f>+[4]NOV30!$O$1968-M72</f>
        <v>466616.04999999981</v>
      </c>
    </row>
    <row r="74" spans="1:15" x14ac:dyDescent="0.2">
      <c r="G74" s="1">
        <f>+[4]NOV30!$I$1968-G72</f>
        <v>-1798228.1199999973</v>
      </c>
      <c r="I74" s="1">
        <f>+[4]sb3!$I$73-I72</f>
        <v>-2264844.1700000018</v>
      </c>
    </row>
    <row r="75" spans="1:15" x14ac:dyDescent="0.2">
      <c r="I75" s="1">
        <f>+[4]sb3!$M$75-I72</f>
        <v>-1798228.1200000048</v>
      </c>
    </row>
    <row r="76" spans="1:15" x14ac:dyDescent="0.2">
      <c r="M76" s="1">
        <f>+G72-M72</f>
        <v>41466411.439999998</v>
      </c>
    </row>
  </sheetData>
  <mergeCells count="1"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6"/>
  <sheetViews>
    <sheetView topLeftCell="E1" workbookViewId="0">
      <selection activeCell="K15" sqref="K15"/>
    </sheetView>
  </sheetViews>
  <sheetFormatPr defaultRowHeight="12.75" x14ac:dyDescent="0.2"/>
  <cols>
    <col min="6" max="6" width="1.5" customWidth="1"/>
    <col min="7" max="7" width="17.83203125" style="1" bestFit="1" customWidth="1"/>
    <col min="8" max="8" width="1.83203125" style="1" customWidth="1"/>
    <col min="9" max="9" width="14.1640625" style="1" bestFit="1" customWidth="1"/>
    <col min="10" max="10" width="1.33203125" style="1" customWidth="1"/>
    <col min="11" max="11" width="14" style="1" customWidth="1"/>
    <col min="12" max="12" width="1.6640625" style="1" customWidth="1"/>
    <col min="13" max="13" width="17.83203125" style="1" bestFit="1" customWidth="1"/>
    <col min="14" max="14" width="1.33203125" style="1" customWidth="1"/>
    <col min="15" max="15" width="13.83203125" style="1" bestFit="1" customWidth="1"/>
  </cols>
  <sheetData>
    <row r="1" spans="1:15" x14ac:dyDescent="0.2">
      <c r="A1" t="s">
        <v>591</v>
      </c>
    </row>
    <row r="3" spans="1:15" ht="13.5" x14ac:dyDescent="0.25">
      <c r="A3" s="69"/>
      <c r="B3" s="69"/>
      <c r="C3" s="69"/>
      <c r="D3" s="69"/>
      <c r="E3" s="7"/>
      <c r="F3" s="69"/>
      <c r="G3" s="70"/>
      <c r="H3" s="70"/>
      <c r="I3" s="70"/>
      <c r="J3" s="70"/>
      <c r="K3" s="70"/>
      <c r="L3" s="70"/>
      <c r="M3" s="71" t="s">
        <v>6</v>
      </c>
      <c r="N3" s="70"/>
      <c r="O3" s="71" t="s">
        <v>6</v>
      </c>
    </row>
    <row r="4" spans="1:15" ht="13.5" x14ac:dyDescent="0.25">
      <c r="A4" s="117" t="s">
        <v>1</v>
      </c>
      <c r="B4" s="117"/>
      <c r="C4" s="117"/>
      <c r="D4" s="72"/>
      <c r="E4" s="10" t="s">
        <v>2</v>
      </c>
      <c r="F4" s="72"/>
      <c r="G4" s="73" t="s">
        <v>3</v>
      </c>
      <c r="H4" s="74"/>
      <c r="I4" s="73" t="s">
        <v>4</v>
      </c>
      <c r="J4" s="74"/>
      <c r="K4" s="73" t="s">
        <v>5</v>
      </c>
      <c r="L4" s="74"/>
      <c r="M4" s="75" t="s">
        <v>3</v>
      </c>
      <c r="N4" s="74"/>
      <c r="O4" s="73" t="s">
        <v>4</v>
      </c>
    </row>
    <row r="7" spans="1:15" x14ac:dyDescent="0.2">
      <c r="A7" t="s">
        <v>590</v>
      </c>
      <c r="G7" s="1">
        <v>10480723.98</v>
      </c>
      <c r="I7" s="1">
        <v>10480723.98</v>
      </c>
      <c r="K7" s="1">
        <v>10474250</v>
      </c>
      <c r="M7" s="1">
        <f>+G7-I7</f>
        <v>0</v>
      </c>
      <c r="O7" s="1">
        <f>+I7-K7</f>
        <v>6473.980000000447</v>
      </c>
    </row>
    <row r="8" spans="1:15" x14ac:dyDescent="0.2">
      <c r="M8" s="1">
        <f t="shared" ref="M8:M36" si="0">+G8-I8</f>
        <v>0</v>
      </c>
      <c r="O8" s="1">
        <f t="shared" ref="O8:O34" si="1">+I8-K8</f>
        <v>0</v>
      </c>
    </row>
    <row r="9" spans="1:15" x14ac:dyDescent="0.2">
      <c r="A9" t="s">
        <v>592</v>
      </c>
      <c r="G9" s="1">
        <v>12780000</v>
      </c>
      <c r="I9" s="1">
        <v>12780000</v>
      </c>
      <c r="K9" s="1">
        <v>12011500</v>
      </c>
      <c r="M9" s="1">
        <f t="shared" si="0"/>
        <v>0</v>
      </c>
      <c r="O9" s="1">
        <f t="shared" si="1"/>
        <v>768500</v>
      </c>
    </row>
    <row r="10" spans="1:15" x14ac:dyDescent="0.2">
      <c r="M10" s="1">
        <f t="shared" si="0"/>
        <v>0</v>
      </c>
      <c r="O10" s="1">
        <f t="shared" si="1"/>
        <v>0</v>
      </c>
    </row>
    <row r="11" spans="1:15" x14ac:dyDescent="0.2">
      <c r="A11" t="s">
        <v>449</v>
      </c>
      <c r="M11" s="1">
        <f t="shared" si="0"/>
        <v>0</v>
      </c>
      <c r="O11" s="1">
        <f t="shared" si="1"/>
        <v>0</v>
      </c>
    </row>
    <row r="12" spans="1:15" x14ac:dyDescent="0.2">
      <c r="A12" t="s">
        <v>451</v>
      </c>
      <c r="G12" s="1">
        <v>2142344.84</v>
      </c>
      <c r="I12" s="1">
        <v>2142344.84</v>
      </c>
      <c r="K12" s="1">
        <v>2135939.41</v>
      </c>
      <c r="M12" s="1">
        <v>0</v>
      </c>
      <c r="O12" s="1">
        <f t="shared" si="1"/>
        <v>6405.429999999702</v>
      </c>
    </row>
    <row r="13" spans="1:15" x14ac:dyDescent="0.2">
      <c r="M13" s="1">
        <f t="shared" si="0"/>
        <v>0</v>
      </c>
      <c r="O13" s="1">
        <f t="shared" si="1"/>
        <v>0</v>
      </c>
    </row>
    <row r="14" spans="1:15" x14ac:dyDescent="0.2">
      <c r="M14" s="1">
        <f t="shared" si="0"/>
        <v>0</v>
      </c>
      <c r="O14" s="1">
        <f t="shared" si="1"/>
        <v>0</v>
      </c>
    </row>
    <row r="15" spans="1:15" x14ac:dyDescent="0.2">
      <c r="G15" s="85">
        <f>SUM(G7:G12)</f>
        <v>25403068.82</v>
      </c>
      <c r="H15" s="85"/>
      <c r="I15" s="85">
        <f>SUM(I7:I12)</f>
        <v>25403068.82</v>
      </c>
      <c r="J15" s="85"/>
      <c r="K15" s="85">
        <f>SUM(K7:K12)</f>
        <v>24621689.41</v>
      </c>
      <c r="L15" s="85"/>
      <c r="M15" s="85">
        <f>SUM(M7:M12)</f>
        <v>0</v>
      </c>
      <c r="N15" s="85"/>
      <c r="O15" s="85">
        <f>SUM(O7:O12)</f>
        <v>781379.41000000015</v>
      </c>
    </row>
    <row r="16" spans="1:15" x14ac:dyDescent="0.2">
      <c r="M16" s="1">
        <f t="shared" si="0"/>
        <v>0</v>
      </c>
      <c r="O16" s="1">
        <f t="shared" si="1"/>
        <v>0</v>
      </c>
    </row>
    <row r="17" spans="13:15" x14ac:dyDescent="0.2">
      <c r="M17" s="1">
        <f t="shared" si="0"/>
        <v>0</v>
      </c>
      <c r="O17" s="1">
        <f t="shared" si="1"/>
        <v>0</v>
      </c>
    </row>
    <row r="18" spans="13:15" x14ac:dyDescent="0.2">
      <c r="M18" s="1">
        <f t="shared" si="0"/>
        <v>0</v>
      </c>
      <c r="O18" s="1">
        <f t="shared" si="1"/>
        <v>0</v>
      </c>
    </row>
    <row r="19" spans="13:15" x14ac:dyDescent="0.2">
      <c r="M19" s="1">
        <f t="shared" si="0"/>
        <v>0</v>
      </c>
      <c r="O19" s="1">
        <f t="shared" si="1"/>
        <v>0</v>
      </c>
    </row>
    <row r="20" spans="13:15" x14ac:dyDescent="0.2">
      <c r="M20" s="1">
        <f t="shared" si="0"/>
        <v>0</v>
      </c>
      <c r="O20" s="1">
        <f t="shared" si="1"/>
        <v>0</v>
      </c>
    </row>
    <row r="21" spans="13:15" x14ac:dyDescent="0.2">
      <c r="M21" s="1">
        <f t="shared" si="0"/>
        <v>0</v>
      </c>
      <c r="O21" s="1">
        <f t="shared" si="1"/>
        <v>0</v>
      </c>
    </row>
    <row r="22" spans="13:15" x14ac:dyDescent="0.2">
      <c r="M22" s="1">
        <f t="shared" si="0"/>
        <v>0</v>
      </c>
      <c r="O22" s="1">
        <f t="shared" si="1"/>
        <v>0</v>
      </c>
    </row>
    <row r="23" spans="13:15" x14ac:dyDescent="0.2">
      <c r="M23" s="1">
        <f t="shared" si="0"/>
        <v>0</v>
      </c>
      <c r="O23" s="1">
        <f t="shared" si="1"/>
        <v>0</v>
      </c>
    </row>
    <row r="24" spans="13:15" x14ac:dyDescent="0.2">
      <c r="M24" s="1">
        <f t="shared" si="0"/>
        <v>0</v>
      </c>
      <c r="O24" s="1">
        <f t="shared" si="1"/>
        <v>0</v>
      </c>
    </row>
    <row r="25" spans="13:15" x14ac:dyDescent="0.2">
      <c r="M25" s="1">
        <f t="shared" si="0"/>
        <v>0</v>
      </c>
      <c r="O25" s="1">
        <f t="shared" si="1"/>
        <v>0</v>
      </c>
    </row>
    <row r="26" spans="13:15" x14ac:dyDescent="0.2">
      <c r="M26" s="1">
        <f t="shared" si="0"/>
        <v>0</v>
      </c>
      <c r="O26" s="1">
        <f t="shared" si="1"/>
        <v>0</v>
      </c>
    </row>
    <row r="27" spans="13:15" x14ac:dyDescent="0.2">
      <c r="M27" s="1">
        <f t="shared" si="0"/>
        <v>0</v>
      </c>
      <c r="O27" s="1">
        <f t="shared" si="1"/>
        <v>0</v>
      </c>
    </row>
    <row r="28" spans="13:15" x14ac:dyDescent="0.2">
      <c r="M28" s="1">
        <f t="shared" si="0"/>
        <v>0</v>
      </c>
      <c r="O28" s="1">
        <f t="shared" si="1"/>
        <v>0</v>
      </c>
    </row>
    <row r="29" spans="13:15" x14ac:dyDescent="0.2">
      <c r="M29" s="1">
        <f t="shared" si="0"/>
        <v>0</v>
      </c>
      <c r="O29" s="1">
        <f t="shared" si="1"/>
        <v>0</v>
      </c>
    </row>
    <row r="30" spans="13:15" x14ac:dyDescent="0.2">
      <c r="M30" s="1">
        <f t="shared" si="0"/>
        <v>0</v>
      </c>
      <c r="O30" s="1">
        <f t="shared" si="1"/>
        <v>0</v>
      </c>
    </row>
    <row r="31" spans="13:15" x14ac:dyDescent="0.2">
      <c r="M31" s="1">
        <f t="shared" si="0"/>
        <v>0</v>
      </c>
      <c r="O31" s="1">
        <f t="shared" si="1"/>
        <v>0</v>
      </c>
    </row>
    <row r="32" spans="13:15" x14ac:dyDescent="0.2">
      <c r="M32" s="1">
        <f t="shared" si="0"/>
        <v>0</v>
      </c>
      <c r="O32" s="1">
        <f t="shared" si="1"/>
        <v>0</v>
      </c>
    </row>
    <row r="33" spans="13:15" x14ac:dyDescent="0.2">
      <c r="M33" s="1">
        <f t="shared" si="0"/>
        <v>0</v>
      </c>
      <c r="O33" s="1">
        <f t="shared" si="1"/>
        <v>0</v>
      </c>
    </row>
    <row r="34" spans="13:15" x14ac:dyDescent="0.2">
      <c r="M34" s="1">
        <f t="shared" si="0"/>
        <v>0</v>
      </c>
      <c r="O34" s="1">
        <f t="shared" si="1"/>
        <v>0</v>
      </c>
    </row>
    <row r="35" spans="13:15" x14ac:dyDescent="0.2">
      <c r="M35" s="1">
        <f t="shared" si="0"/>
        <v>0</v>
      </c>
    </row>
    <row r="36" spans="13:15" x14ac:dyDescent="0.2">
      <c r="M36" s="1">
        <f t="shared" si="0"/>
        <v>0</v>
      </c>
    </row>
  </sheetData>
  <mergeCells count="1">
    <mergeCell ref="A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opLeftCell="A61" workbookViewId="0">
      <selection activeCell="B91" sqref="B91"/>
    </sheetView>
  </sheetViews>
  <sheetFormatPr defaultRowHeight="12.75" x14ac:dyDescent="0.2"/>
  <cols>
    <col min="2" max="2" width="15.1640625" style="1" bestFit="1" customWidth="1"/>
    <col min="3" max="3" width="14.83203125" style="1" bestFit="1" customWidth="1"/>
    <col min="4" max="4" width="13.83203125" style="1" bestFit="1" customWidth="1"/>
    <col min="5" max="5" width="14.1640625" style="1" bestFit="1" customWidth="1"/>
    <col min="6" max="6" width="14.1640625" style="1" customWidth="1"/>
    <col min="7" max="7" width="14.1640625" style="1" bestFit="1" customWidth="1"/>
    <col min="8" max="8" width="13.83203125" style="1" bestFit="1" customWidth="1"/>
    <col min="9" max="14" width="9.33203125" style="1"/>
  </cols>
  <sheetData>
    <row r="1" spans="1:8" x14ac:dyDescent="0.2">
      <c r="A1" t="s">
        <v>425</v>
      </c>
      <c r="B1" s="1" t="s">
        <v>430</v>
      </c>
      <c r="C1" s="118" t="s">
        <v>431</v>
      </c>
      <c r="D1" s="118"/>
      <c r="E1" s="118"/>
      <c r="F1" s="65" t="s">
        <v>432</v>
      </c>
      <c r="G1" s="1" t="s">
        <v>428</v>
      </c>
      <c r="H1" s="1" t="s">
        <v>429</v>
      </c>
    </row>
    <row r="2" spans="1:8" x14ac:dyDescent="0.2">
      <c r="A2" t="s">
        <v>424</v>
      </c>
      <c r="B2" s="68">
        <f>+'DEC2018'!H27-[4]NOV30!$I$26</f>
        <v>19317830.410000011</v>
      </c>
      <c r="C2" s="1">
        <v>-190243.85</v>
      </c>
      <c r="D2" s="1">
        <v>9027350.2799999993</v>
      </c>
      <c r="E2" s="1">
        <v>10480723.98</v>
      </c>
      <c r="G2" s="1">
        <f>SUM(C2:F2)</f>
        <v>19317830.41</v>
      </c>
      <c r="H2" s="1">
        <f t="shared" ref="H2:H32" si="0">+G2-B2</f>
        <v>0</v>
      </c>
    </row>
    <row r="3" spans="1:8" x14ac:dyDescent="0.2">
      <c r="A3" t="s">
        <v>427</v>
      </c>
      <c r="B3" s="68">
        <f>(SUM('DEC2018'!H43:H77))-(SUM([4]NOV30!$I$42:$I$82))</f>
        <v>8554695.7099999785</v>
      </c>
      <c r="C3" s="1">
        <v>12780000</v>
      </c>
      <c r="D3" s="1">
        <f>-974.13-1943972.85-56619.56-2718690.01-37700-18600-204004-50000-3540.52-300000</f>
        <v>-5334101.0699999994</v>
      </c>
      <c r="E3" s="1">
        <f>714000</f>
        <v>714000</v>
      </c>
      <c r="F3" s="1">
        <f>100000+300000</f>
        <v>400000</v>
      </c>
      <c r="G3" s="1">
        <f t="shared" ref="G3:G32" si="1">SUM(C3:F3)</f>
        <v>8559898.9299999997</v>
      </c>
      <c r="H3" s="1">
        <f t="shared" si="0"/>
        <v>5203.2200000211596</v>
      </c>
    </row>
    <row r="4" spans="1:8" x14ac:dyDescent="0.2">
      <c r="A4" t="s">
        <v>434</v>
      </c>
      <c r="B4" s="68">
        <f>+[4]NOV30!$I$85-'DEC2018'!H79</f>
        <v>572209</v>
      </c>
      <c r="G4" s="1">
        <f t="shared" si="1"/>
        <v>0</v>
      </c>
      <c r="H4" s="1">
        <f t="shared" si="0"/>
        <v>-572209</v>
      </c>
    </row>
    <row r="5" spans="1:8" x14ac:dyDescent="0.2">
      <c r="A5" t="s">
        <v>435</v>
      </c>
      <c r="B5" s="68">
        <f>+[4]NOV30!$I$90-'DEC2018'!H83</f>
        <v>229577.28999999911</v>
      </c>
      <c r="G5" s="1">
        <f t="shared" si="1"/>
        <v>0</v>
      </c>
      <c r="H5" s="1">
        <f t="shared" si="0"/>
        <v>-229577.28999999911</v>
      </c>
    </row>
    <row r="6" spans="1:8" x14ac:dyDescent="0.2">
      <c r="A6" t="s">
        <v>436</v>
      </c>
      <c r="B6" s="68">
        <f>+[4]NOV30!$I$103-'DEC2018'!H93</f>
        <v>995.54999999998836</v>
      </c>
      <c r="G6" s="1">
        <f t="shared" si="1"/>
        <v>0</v>
      </c>
      <c r="H6" s="1">
        <f t="shared" si="0"/>
        <v>-995.54999999998836</v>
      </c>
    </row>
    <row r="7" spans="1:8" x14ac:dyDescent="0.2">
      <c r="A7" t="s">
        <v>437</v>
      </c>
      <c r="B7" s="68">
        <f>+[4]NOV30!$I$107-'DEC2018'!H97</f>
        <v>25582.760000000009</v>
      </c>
      <c r="G7" s="1">
        <f t="shared" si="1"/>
        <v>0</v>
      </c>
      <c r="H7" s="1">
        <f t="shared" si="0"/>
        <v>-25582.760000000009</v>
      </c>
    </row>
    <row r="8" spans="1:8" x14ac:dyDescent="0.2">
      <c r="A8" t="s">
        <v>438</v>
      </c>
      <c r="B8" s="68">
        <f>+[4]NOV30!$I$111-'DEC2018'!H101</f>
        <v>10355.619999999995</v>
      </c>
      <c r="G8" s="1">
        <f t="shared" si="1"/>
        <v>0</v>
      </c>
      <c r="H8" s="1">
        <f t="shared" si="0"/>
        <v>-10355.619999999995</v>
      </c>
    </row>
    <row r="9" spans="1:8" x14ac:dyDescent="0.2">
      <c r="A9" t="s">
        <v>439</v>
      </c>
      <c r="B9" s="68">
        <f>+[4]NOV30!$I$121-'DEC2018'!H111</f>
        <v>160415</v>
      </c>
      <c r="G9" s="1">
        <f t="shared" si="1"/>
        <v>0</v>
      </c>
      <c r="H9" s="1">
        <f t="shared" si="0"/>
        <v>-160415</v>
      </c>
    </row>
    <row r="10" spans="1:8" x14ac:dyDescent="0.2">
      <c r="A10" t="s">
        <v>440</v>
      </c>
      <c r="B10" s="68">
        <f>+[4]NOV30!$I$133-'DEC2018'!H119</f>
        <v>46483.800000000047</v>
      </c>
      <c r="G10" s="1">
        <f t="shared" si="1"/>
        <v>0</v>
      </c>
      <c r="H10" s="1">
        <f t="shared" si="0"/>
        <v>-46483.800000000047</v>
      </c>
    </row>
    <row r="11" spans="1:8" x14ac:dyDescent="0.2">
      <c r="A11" t="s">
        <v>441</v>
      </c>
      <c r="B11" s="68">
        <f>+[4]NOV30!$I$140-'DEC2018'!H126</f>
        <v>1757</v>
      </c>
      <c r="G11" s="1">
        <f t="shared" si="1"/>
        <v>0</v>
      </c>
      <c r="H11" s="1">
        <f t="shared" si="0"/>
        <v>-1757</v>
      </c>
    </row>
    <row r="12" spans="1:8" x14ac:dyDescent="0.2">
      <c r="A12" t="s">
        <v>442</v>
      </c>
      <c r="B12" s="68">
        <f>+[4]NOV30!$I$150-'DEC2018'!H133</f>
        <v>905</v>
      </c>
      <c r="G12" s="1">
        <f t="shared" si="1"/>
        <v>0</v>
      </c>
      <c r="H12" s="1">
        <f t="shared" si="0"/>
        <v>-905</v>
      </c>
    </row>
    <row r="13" spans="1:8" x14ac:dyDescent="0.2">
      <c r="A13" t="s">
        <v>443</v>
      </c>
      <c r="B13" s="68">
        <f>+[4]NOV30!$I$162-'DEC2018'!H145</f>
        <v>15061.650000000023</v>
      </c>
      <c r="G13" s="1">
        <f t="shared" si="1"/>
        <v>0</v>
      </c>
      <c r="H13" s="1">
        <f t="shared" si="0"/>
        <v>-15061.650000000023</v>
      </c>
    </row>
    <row r="14" spans="1:8" x14ac:dyDescent="0.2">
      <c r="A14" t="s">
        <v>444</v>
      </c>
      <c r="B14" s="68">
        <f>+[4]NOV30!$I$167-'DEC2018'!H149</f>
        <v>5918</v>
      </c>
      <c r="G14" s="1">
        <f t="shared" si="1"/>
        <v>0</v>
      </c>
      <c r="H14" s="1">
        <f t="shared" si="0"/>
        <v>-5918</v>
      </c>
    </row>
    <row r="15" spans="1:8" x14ac:dyDescent="0.2">
      <c r="A15" t="s">
        <v>445</v>
      </c>
      <c r="B15" s="68">
        <f>+[4]NOV30!$I$174-'DEC2018'!H157</f>
        <v>404645</v>
      </c>
      <c r="G15" s="1">
        <f t="shared" si="1"/>
        <v>0</v>
      </c>
      <c r="H15" s="1">
        <f t="shared" si="0"/>
        <v>-404645</v>
      </c>
    </row>
    <row r="17" spans="1:8" x14ac:dyDescent="0.2">
      <c r="G17" s="1">
        <f t="shared" si="1"/>
        <v>0</v>
      </c>
      <c r="H17" s="1">
        <f t="shared" si="0"/>
        <v>0</v>
      </c>
    </row>
    <row r="18" spans="1:8" x14ac:dyDescent="0.2">
      <c r="A18" t="s">
        <v>447</v>
      </c>
      <c r="G18" s="1">
        <f t="shared" si="1"/>
        <v>0</v>
      </c>
      <c r="H18" s="1">
        <f t="shared" si="0"/>
        <v>0</v>
      </c>
    </row>
    <row r="19" spans="1:8" x14ac:dyDescent="0.2">
      <c r="A19" t="s">
        <v>424</v>
      </c>
      <c r="B19" s="68">
        <f>+[4]NOV30!$I$271-'DEC2018'!H243</f>
        <v>150893.87999999989</v>
      </c>
      <c r="G19" s="1">
        <f t="shared" si="1"/>
        <v>0</v>
      </c>
      <c r="H19" s="1">
        <f t="shared" si="0"/>
        <v>-150893.87999999989</v>
      </c>
    </row>
    <row r="20" spans="1:8" x14ac:dyDescent="0.2">
      <c r="A20" t="s">
        <v>426</v>
      </c>
      <c r="B20" s="68">
        <f>+[4]NOV30!$I$283-'DEC2018'!H255</f>
        <v>263006.56000000006</v>
      </c>
      <c r="G20" s="1">
        <f t="shared" si="1"/>
        <v>0</v>
      </c>
      <c r="H20" s="1">
        <f t="shared" si="0"/>
        <v>-263006.56000000006</v>
      </c>
    </row>
    <row r="21" spans="1:8" x14ac:dyDescent="0.2">
      <c r="G21" s="1">
        <f t="shared" si="1"/>
        <v>0</v>
      </c>
      <c r="H21" s="1">
        <f t="shared" si="0"/>
        <v>0</v>
      </c>
    </row>
    <row r="22" spans="1:8" x14ac:dyDescent="0.2">
      <c r="A22" t="s">
        <v>448</v>
      </c>
      <c r="G22" s="1">
        <f t="shared" si="1"/>
        <v>0</v>
      </c>
      <c r="H22" s="1">
        <f t="shared" si="0"/>
        <v>0</v>
      </c>
    </row>
    <row r="23" spans="1:8" x14ac:dyDescent="0.2">
      <c r="A23" t="s">
        <v>424</v>
      </c>
      <c r="B23" s="68">
        <f>+[4]NOV30!$I$306-'DEC2018'!H278</f>
        <v>995148.59000001103</v>
      </c>
      <c r="G23" s="1">
        <f t="shared" si="1"/>
        <v>0</v>
      </c>
      <c r="H23" s="1">
        <f t="shared" si="0"/>
        <v>-995148.59000001103</v>
      </c>
    </row>
    <row r="24" spans="1:8" x14ac:dyDescent="0.2">
      <c r="A24" t="s">
        <v>426</v>
      </c>
      <c r="B24" s="68">
        <f>+[4]NOV30!$I$321-'DEC2018'!H293</f>
        <v>207390.76999999955</v>
      </c>
      <c r="G24" s="1">
        <f t="shared" si="1"/>
        <v>0</v>
      </c>
      <c r="H24" s="1">
        <f t="shared" si="0"/>
        <v>-207390.76999999955</v>
      </c>
    </row>
    <row r="25" spans="1:8" x14ac:dyDescent="0.2">
      <c r="G25" s="1">
        <f t="shared" si="1"/>
        <v>0</v>
      </c>
      <c r="H25" s="1">
        <f t="shared" si="0"/>
        <v>0</v>
      </c>
    </row>
    <row r="26" spans="1:8" x14ac:dyDescent="0.2">
      <c r="A26" t="s">
        <v>449</v>
      </c>
      <c r="G26" s="1">
        <f t="shared" si="1"/>
        <v>0</v>
      </c>
      <c r="H26" s="1">
        <f t="shared" si="0"/>
        <v>0</v>
      </c>
    </row>
    <row r="27" spans="1:8" x14ac:dyDescent="0.2">
      <c r="A27" t="s">
        <v>424</v>
      </c>
      <c r="B27" s="68">
        <f>+[4]NOV30!$I$363-'DEC2018'!H327</f>
        <v>2467132.5700000003</v>
      </c>
      <c r="G27" s="1">
        <f t="shared" si="1"/>
        <v>0</v>
      </c>
      <c r="H27" s="1">
        <f t="shared" si="0"/>
        <v>-2467132.5700000003</v>
      </c>
    </row>
    <row r="28" spans="1:8" x14ac:dyDescent="0.2">
      <c r="A28" t="s">
        <v>426</v>
      </c>
      <c r="B28" s="1">
        <f>SUM([4]NOV30!$I$379:$I$392)</f>
        <v>11872630.41</v>
      </c>
      <c r="C28" s="68">
        <f>+[4]NOV30!$I$378-'DEC2018'!H342</f>
        <v>1332349.5</v>
      </c>
      <c r="G28" s="1">
        <f t="shared" si="1"/>
        <v>1332349.5</v>
      </c>
      <c r="H28" s="1">
        <f t="shared" si="0"/>
        <v>-10540280.91</v>
      </c>
    </row>
    <row r="29" spans="1:8" x14ac:dyDescent="0.2">
      <c r="B29" s="1">
        <f>SUM('DEC2018'!H343:H350)</f>
        <v>12098216.91</v>
      </c>
      <c r="G29" s="1">
        <f t="shared" si="1"/>
        <v>0</v>
      </c>
      <c r="H29" s="1">
        <f t="shared" si="0"/>
        <v>-12098216.91</v>
      </c>
    </row>
    <row r="30" spans="1:8" x14ac:dyDescent="0.2">
      <c r="B30" s="1">
        <f>+B29-B28</f>
        <v>225586.5</v>
      </c>
      <c r="G30" s="1">
        <f t="shared" si="1"/>
        <v>0</v>
      </c>
      <c r="H30" s="1">
        <f t="shared" si="0"/>
        <v>-225586.5</v>
      </c>
    </row>
    <row r="31" spans="1:8" x14ac:dyDescent="0.2">
      <c r="A31" t="s">
        <v>450</v>
      </c>
      <c r="B31" s="1">
        <f>+[4]NOV30!$I$381-'DEC2018'!H344</f>
        <v>9180</v>
      </c>
      <c r="G31" s="1">
        <f t="shared" si="1"/>
        <v>0</v>
      </c>
      <c r="H31" s="1">
        <f t="shared" si="0"/>
        <v>-9180</v>
      </c>
    </row>
    <row r="32" spans="1:8" x14ac:dyDescent="0.2">
      <c r="A32" t="s">
        <v>451</v>
      </c>
      <c r="B32" s="1">
        <f>-SUM([4]NOV30!$I$383:$I$384)</f>
        <v>-6773480.4100000001</v>
      </c>
      <c r="G32" s="1">
        <f t="shared" si="1"/>
        <v>0</v>
      </c>
      <c r="H32" s="1">
        <f t="shared" si="0"/>
        <v>6773480.4100000001</v>
      </c>
    </row>
    <row r="33" spans="1:3" x14ac:dyDescent="0.2">
      <c r="B33" s="1">
        <f>+B32+'DEC2018'!H346</f>
        <v>2142344.84</v>
      </c>
    </row>
    <row r="34" spans="1:3" x14ac:dyDescent="0.2">
      <c r="A34" t="s">
        <v>452</v>
      </c>
      <c r="B34" s="1">
        <f>+[4]NOV30!$I$386-'DEC2018'!H347</f>
        <v>0</v>
      </c>
    </row>
    <row r="35" spans="1:3" x14ac:dyDescent="0.2">
      <c r="A35" t="s">
        <v>453</v>
      </c>
      <c r="B35" s="1">
        <f>+[4]NOV30!$I$387-'DEC2018'!H348</f>
        <v>271448</v>
      </c>
    </row>
    <row r="36" spans="1:3" x14ac:dyDescent="0.2">
      <c r="A36" t="s">
        <v>454</v>
      </c>
      <c r="B36" s="1">
        <f>+[4]NOV30!$I$388-'DEC2018'!H349</f>
        <v>29421.67</v>
      </c>
    </row>
    <row r="37" spans="1:3" x14ac:dyDescent="0.2">
      <c r="A37" t="s">
        <v>455</v>
      </c>
      <c r="B37" s="1">
        <f>+[4]NOV30!$I$390-'DEC2018'!H350</f>
        <v>397963.12</v>
      </c>
    </row>
    <row r="38" spans="1:3" x14ac:dyDescent="0.2">
      <c r="B38" s="1">
        <f>+[4]NOV30!$I$378-'DEC2018'!H342</f>
        <v>1332349.5</v>
      </c>
    </row>
    <row r="40" spans="1:3" x14ac:dyDescent="0.2">
      <c r="A40" s="66" t="s">
        <v>456</v>
      </c>
    </row>
    <row r="41" spans="1:3" x14ac:dyDescent="0.2">
      <c r="A41" s="67" t="s">
        <v>424</v>
      </c>
      <c r="B41" s="68">
        <f>+[4]NOV30!$I$468-'DEC2018'!H410</f>
        <v>217391.37999999989</v>
      </c>
    </row>
    <row r="42" spans="1:3" x14ac:dyDescent="0.2">
      <c r="A42" s="67" t="s">
        <v>426</v>
      </c>
      <c r="B42" s="1">
        <f>+[4]NOV30!$I$481-'DEC2018'!H423</f>
        <v>275523.88999999966</v>
      </c>
      <c r="C42" s="68">
        <f>+[4]NOV30!$I$481-'DEC2018'!H423</f>
        <v>275523.88999999966</v>
      </c>
    </row>
    <row r="43" spans="1:3" x14ac:dyDescent="0.2">
      <c r="B43" s="1">
        <f>SUM([4]NOV30!$I$482:$I$487)</f>
        <v>229600</v>
      </c>
    </row>
    <row r="44" spans="1:3" x14ac:dyDescent="0.2">
      <c r="B44" s="1">
        <f>SUM('DEC2018'!H424:H429)</f>
        <v>180975</v>
      </c>
    </row>
    <row r="45" spans="1:3" x14ac:dyDescent="0.2">
      <c r="B45" s="1">
        <f>+B44-B43</f>
        <v>-48625</v>
      </c>
    </row>
    <row r="46" spans="1:3" x14ac:dyDescent="0.2">
      <c r="A46" t="s">
        <v>457</v>
      </c>
      <c r="B46" s="1">
        <f>+[4]NOV30!$I$490-'DEC2018'!H430</f>
        <v>16351.889999999898</v>
      </c>
    </row>
    <row r="47" spans="1:3" x14ac:dyDescent="0.2">
      <c r="B47" s="1">
        <f>SUM([4]NOV30!$I$493:$I$494)</f>
        <v>1108970</v>
      </c>
    </row>
    <row r="48" spans="1:3" x14ac:dyDescent="0.2">
      <c r="B48" s="1">
        <f>+B47-'DEC2018'!H432</f>
        <v>11338</v>
      </c>
    </row>
    <row r="49" spans="1:2" x14ac:dyDescent="0.2">
      <c r="B49" s="1">
        <f>+[4]NOV30!$I$490-'DEC2018'!H430</f>
        <v>16351.889999999898</v>
      </c>
    </row>
    <row r="50" spans="1:2" x14ac:dyDescent="0.2">
      <c r="B50" s="1">
        <f>+[4]NOV30!$I$495-'DEC2018'!H433</f>
        <v>2274</v>
      </c>
    </row>
    <row r="51" spans="1:2" x14ac:dyDescent="0.2">
      <c r="B51" s="1">
        <f>+[4]NOV30!$I$490-'DEC2018'!H430</f>
        <v>16351.889999999898</v>
      </c>
    </row>
    <row r="52" spans="1:2" x14ac:dyDescent="0.2">
      <c r="A52" t="s">
        <v>458</v>
      </c>
      <c r="B52" s="1">
        <f>[4]NOV30!$I$500-'DEC2018'!H437</f>
        <v>944</v>
      </c>
    </row>
    <row r="53" spans="1:2" x14ac:dyDescent="0.2">
      <c r="A53" t="s">
        <v>459</v>
      </c>
      <c r="B53" s="1">
        <f>+[4]NOV30!$I$510-'DEC2018'!H444</f>
        <v>24671</v>
      </c>
    </row>
    <row r="54" spans="1:2" x14ac:dyDescent="0.2">
      <c r="A54" t="s">
        <v>460</v>
      </c>
      <c r="B54" s="1">
        <f>+[4]NOV30!$I$517-'DEC2018'!H451</f>
        <v>184932</v>
      </c>
    </row>
    <row r="56" spans="1:2" x14ac:dyDescent="0.2">
      <c r="A56" s="66" t="s">
        <v>461</v>
      </c>
    </row>
    <row r="57" spans="1:2" x14ac:dyDescent="0.2">
      <c r="A57" t="s">
        <v>424</v>
      </c>
      <c r="B57" s="68">
        <f>+[4]NOV30!$I$533-'DEC2018'!H466</f>
        <v>208966.46000000089</v>
      </c>
    </row>
    <row r="58" spans="1:2" x14ac:dyDescent="0.2">
      <c r="A58" t="s">
        <v>426</v>
      </c>
      <c r="B58" s="68">
        <f>+[4]NOV30!$I$546-'DEC2018'!H479</f>
        <v>384186.12000000011</v>
      </c>
    </row>
    <row r="60" spans="1:2" x14ac:dyDescent="0.2">
      <c r="A60" s="66" t="s">
        <v>462</v>
      </c>
    </row>
    <row r="61" spans="1:2" x14ac:dyDescent="0.2">
      <c r="A61" t="s">
        <v>424</v>
      </c>
      <c r="B61" s="68">
        <f>+[4]NOV30!$I$582-'DEC2018'!H509</f>
        <v>1656901.129999999</v>
      </c>
    </row>
    <row r="62" spans="1:2" x14ac:dyDescent="0.2">
      <c r="A62" t="s">
        <v>426</v>
      </c>
      <c r="B62" s="68">
        <f>+[4]NOV30!$I$596-'DEC2018'!H523</f>
        <v>1613323.5399999991</v>
      </c>
    </row>
    <row r="64" spans="1:2" x14ac:dyDescent="0.2">
      <c r="A64" s="66" t="s">
        <v>463</v>
      </c>
    </row>
    <row r="65" spans="1:2" x14ac:dyDescent="0.2">
      <c r="A65" t="s">
        <v>424</v>
      </c>
      <c r="B65" s="68">
        <f>+[4]NOV30!$I$633-'DEC2018'!H557</f>
        <v>781196.70000000019</v>
      </c>
    </row>
    <row r="66" spans="1:2" x14ac:dyDescent="0.2">
      <c r="A66" t="s">
        <v>426</v>
      </c>
      <c r="B66" s="68">
        <f>+[4]NOV30!$I$649-'DEC2018'!H573</f>
        <v>65255</v>
      </c>
    </row>
    <row r="68" spans="1:2" x14ac:dyDescent="0.2">
      <c r="A68" t="s">
        <v>464</v>
      </c>
      <c r="B68" s="68">
        <f>+[4]NOV30!$I$669-'DEC2018'!H591</f>
        <v>585008.62999999989</v>
      </c>
    </row>
    <row r="69" spans="1:2" x14ac:dyDescent="0.2">
      <c r="A69" t="s">
        <v>426</v>
      </c>
      <c r="B69" s="68">
        <f>+[4]NOV30!$I$685-'DEC2018'!H606</f>
        <v>186994.5</v>
      </c>
    </row>
    <row r="71" spans="1:2" x14ac:dyDescent="0.2">
      <c r="A71" t="s">
        <v>465</v>
      </c>
      <c r="B71" s="1">
        <f>+[4]NOV30!$I$706-'DEC2018'!H622</f>
        <v>0</v>
      </c>
    </row>
    <row r="72" spans="1:2" x14ac:dyDescent="0.2">
      <c r="A72" t="s">
        <v>426</v>
      </c>
      <c r="B72" s="68">
        <f>+[4]NOV30!$I$721-'DEC2018'!H637</f>
        <v>145570.28000000003</v>
      </c>
    </row>
    <row r="74" spans="1:2" x14ac:dyDescent="0.2">
      <c r="A74" t="s">
        <v>466</v>
      </c>
      <c r="B74" s="1">
        <f>+[4]NOV30!$I$750-'DEC2018'!H662</f>
        <v>0</v>
      </c>
    </row>
    <row r="75" spans="1:2" x14ac:dyDescent="0.2">
      <c r="A75" t="s">
        <v>426</v>
      </c>
      <c r="B75" s="68">
        <f>+[4]NOV30!$I$764-'DEC2018'!H676</f>
        <v>128897.72999999998</v>
      </c>
    </row>
    <row r="77" spans="1:2" x14ac:dyDescent="0.2">
      <c r="A77" s="66" t="s">
        <v>467</v>
      </c>
      <c r="B77" s="1">
        <f>+[4]NOV30!$I$804-'DEC2018'!H715</f>
        <v>0</v>
      </c>
    </row>
    <row r="78" spans="1:2" x14ac:dyDescent="0.2">
      <c r="A78" t="s">
        <v>426</v>
      </c>
      <c r="B78" s="68">
        <f>+[4]NOV30!$I$818-'DEC2018'!H729</f>
        <v>2500</v>
      </c>
    </row>
    <row r="80" spans="1:2" x14ac:dyDescent="0.2">
      <c r="A80" s="66" t="s">
        <v>468</v>
      </c>
    </row>
    <row r="81" spans="1:3" x14ac:dyDescent="0.2">
      <c r="A81" t="s">
        <v>424</v>
      </c>
      <c r="B81" s="68">
        <f>+[4]NOV30!$I$940-'DEC2018'!H849</f>
        <v>3586775.0199999958</v>
      </c>
    </row>
    <row r="82" spans="1:3" x14ac:dyDescent="0.2">
      <c r="A82" t="s">
        <v>426</v>
      </c>
      <c r="B82" s="1">
        <f>+[4]NOV30!$I$957-'DEC2018'!H866</f>
        <v>872362.48000000045</v>
      </c>
      <c r="C82" s="1" t="s">
        <v>469</v>
      </c>
    </row>
    <row r="83" spans="1:3" x14ac:dyDescent="0.2">
      <c r="A83" t="s">
        <v>486</v>
      </c>
      <c r="B83" s="68">
        <f>+[4]NOV30!$I$967-'DEC2018'!H871</f>
        <v>52080</v>
      </c>
    </row>
    <row r="84" spans="1:3" x14ac:dyDescent="0.2">
      <c r="A84" t="s">
        <v>422</v>
      </c>
      <c r="B84" s="68">
        <f>+[4]NOV30!$I$988-'DEC2018'!H890</f>
        <v>8295.1999999999534</v>
      </c>
    </row>
    <row r="85" spans="1:3" x14ac:dyDescent="0.2">
      <c r="A85" t="s">
        <v>487</v>
      </c>
      <c r="B85" s="68">
        <f>+[4]NOV30!$I$1000-'DEC2018'!H900</f>
        <v>10992</v>
      </c>
    </row>
    <row r="86" spans="1:3" x14ac:dyDescent="0.2">
      <c r="A86" t="s">
        <v>488</v>
      </c>
      <c r="B86" s="68">
        <f>+[4]NOV30!$I$1015-'DEC2018'!H911</f>
        <v>15731.450000000186</v>
      </c>
    </row>
    <row r="87" spans="1:3" x14ac:dyDescent="0.2">
      <c r="A87" t="s">
        <v>489</v>
      </c>
      <c r="B87" s="68">
        <f>+[4]NOV30!$I$1023-'DEC2018'!H918</f>
        <v>36059</v>
      </c>
    </row>
    <row r="88" spans="1:3" x14ac:dyDescent="0.2">
      <c r="A88" t="s">
        <v>490</v>
      </c>
      <c r="B88" s="68">
        <f>+[4]NOV30!$I$1034-'DEC2018'!H924</f>
        <v>497852.30000000075</v>
      </c>
    </row>
    <row r="89" spans="1:3" x14ac:dyDescent="0.2">
      <c r="A89" t="s">
        <v>491</v>
      </c>
      <c r="B89" s="68">
        <f>+[4]NOV30!$I$1046-'DEC2018'!H934</f>
        <v>9181</v>
      </c>
    </row>
    <row r="90" spans="1:3" x14ac:dyDescent="0.2">
      <c r="A90" t="s">
        <v>492</v>
      </c>
      <c r="B90" s="1">
        <f>+[4]NOV30!$I$1057-'DEC2018'!H943</f>
        <v>24488.5</v>
      </c>
    </row>
    <row r="97" spans="1:2" x14ac:dyDescent="0.2">
      <c r="A97" t="s">
        <v>470</v>
      </c>
    </row>
    <row r="98" spans="1:2" x14ac:dyDescent="0.2">
      <c r="A98" t="s">
        <v>424</v>
      </c>
      <c r="B98" s="1">
        <f>+[4]NOV30!$I$1085-'DEC2018'!H969</f>
        <v>0</v>
      </c>
    </row>
    <row r="99" spans="1:2" x14ac:dyDescent="0.2">
      <c r="A99" t="s">
        <v>426</v>
      </c>
      <c r="B99" s="1">
        <f>+[4]NOV30!$I$1100-'DEC2018'!H984</f>
        <v>0</v>
      </c>
    </row>
    <row r="101" spans="1:2" x14ac:dyDescent="0.2">
      <c r="A101" t="s">
        <v>471</v>
      </c>
    </row>
    <row r="102" spans="1:2" x14ac:dyDescent="0.2">
      <c r="A102" t="s">
        <v>424</v>
      </c>
      <c r="B102" s="1">
        <f>+[4]NOV30!$I$1291-'DEC2018'!H1167</f>
        <v>409907.63999999873</v>
      </c>
    </row>
    <row r="103" spans="1:2" x14ac:dyDescent="0.2">
      <c r="A103" t="s">
        <v>426</v>
      </c>
      <c r="B103" s="1">
        <f>+[4]NOV30!$I$1306-'DEC2018'!H1182</f>
        <v>3597672.8200000003</v>
      </c>
    </row>
    <row r="105" spans="1:2" x14ac:dyDescent="0.2">
      <c r="A105" t="s">
        <v>472</v>
      </c>
    </row>
    <row r="106" spans="1:2" x14ac:dyDescent="0.2">
      <c r="A106" t="s">
        <v>424</v>
      </c>
      <c r="B106" s="1">
        <f>+[4]NOV30!$I$1466-'DEC2018'!H1330</f>
        <v>227040.33000000194</v>
      </c>
    </row>
    <row r="107" spans="1:2" x14ac:dyDescent="0.2">
      <c r="A107" t="s">
        <v>426</v>
      </c>
      <c r="B107" s="1">
        <f>+[4]NOV30!$I$1480-'DEC2018'!H1344</f>
        <v>167047</v>
      </c>
    </row>
    <row r="108" spans="1:2" x14ac:dyDescent="0.2">
      <c r="A108" t="s">
        <v>473</v>
      </c>
      <c r="B108" s="1">
        <f>SUM([4]NOV30!$I$1481:$I$1490)</f>
        <v>1028485.72</v>
      </c>
    </row>
    <row r="109" spans="1:2" x14ac:dyDescent="0.2">
      <c r="A109" t="s">
        <v>474</v>
      </c>
      <c r="B109" s="1">
        <f>SUM('DEC2018'!H1345:H1353)</f>
        <v>1004093.72</v>
      </c>
    </row>
    <row r="110" spans="1:2" x14ac:dyDescent="0.2">
      <c r="B110" s="1">
        <f>+B108-B109</f>
        <v>24392</v>
      </c>
    </row>
    <row r="111" spans="1:2" x14ac:dyDescent="0.2">
      <c r="A111" t="s">
        <v>475</v>
      </c>
      <c r="B111" s="1">
        <f>+[4]NOV30!$I$1493-'DEC2018'!H1355</f>
        <v>66794</v>
      </c>
    </row>
    <row r="112" spans="1:2" x14ac:dyDescent="0.2">
      <c r="A112" t="s">
        <v>476</v>
      </c>
      <c r="B112" s="1">
        <f>+[4]NOV30!$I$1503-'DEC2018'!H1364</f>
        <v>0</v>
      </c>
    </row>
    <row r="113" spans="1:2" x14ac:dyDescent="0.2">
      <c r="A113" t="s">
        <v>477</v>
      </c>
      <c r="B113" s="1">
        <f>+[4]NOV30!$I$1518-'DEC2018'!H1377</f>
        <v>38712</v>
      </c>
    </row>
    <row r="115" spans="1:2" x14ac:dyDescent="0.2">
      <c r="A115" t="s">
        <v>478</v>
      </c>
    </row>
    <row r="116" spans="1:2" x14ac:dyDescent="0.2">
      <c r="A116" t="s">
        <v>424</v>
      </c>
      <c r="B116" s="1">
        <f>+[4]NOV30!$I$1548-'DEC2018'!H1406</f>
        <v>972673.64000000013</v>
      </c>
    </row>
    <row r="117" spans="1:2" x14ac:dyDescent="0.2">
      <c r="A117" t="s">
        <v>426</v>
      </c>
      <c r="B117" s="1">
        <f>+[4]NOV30!$I$1561-'DEC2018'!H1418</f>
        <v>458259.76000000071</v>
      </c>
    </row>
    <row r="118" spans="1:2" x14ac:dyDescent="0.2">
      <c r="A118" t="s">
        <v>479</v>
      </c>
      <c r="B118" s="1">
        <f>SUM([4]NOV30!$I$1562:$I$1570)</f>
        <v>810600</v>
      </c>
    </row>
    <row r="119" spans="1:2" x14ac:dyDescent="0.2">
      <c r="A119" t="s">
        <v>474</v>
      </c>
      <c r="B119" s="1">
        <f>SUM('DEC2018'!H1419:H1426)</f>
        <v>750679</v>
      </c>
    </row>
    <row r="120" spans="1:2" x14ac:dyDescent="0.2">
      <c r="B120" s="1">
        <f>+B118-B119</f>
        <v>59921</v>
      </c>
    </row>
    <row r="123" spans="1:2" x14ac:dyDescent="0.2">
      <c r="A123" t="s">
        <v>480</v>
      </c>
    </row>
    <row r="124" spans="1:2" x14ac:dyDescent="0.2">
      <c r="A124" t="s">
        <v>424</v>
      </c>
      <c r="B124" s="1">
        <f>+[4]NOV30!$I$1624-'DEC2018'!H1476</f>
        <v>309121.56000000052</v>
      </c>
    </row>
    <row r="125" spans="1:2" x14ac:dyDescent="0.2">
      <c r="A125" t="s">
        <v>426</v>
      </c>
      <c r="B125" s="1">
        <f>+[4]NOV30!$I$1637-'DEC2018'!H1489</f>
        <v>66235.350000000093</v>
      </c>
    </row>
    <row r="126" spans="1:2" x14ac:dyDescent="0.2">
      <c r="A126" t="s">
        <v>473</v>
      </c>
      <c r="B126" s="1">
        <f>SUM([4]NOV30!$I$1638:$I$1646)</f>
        <v>238600</v>
      </c>
    </row>
    <row r="127" spans="1:2" x14ac:dyDescent="0.2">
      <c r="A127" t="s">
        <v>474</v>
      </c>
      <c r="B127" s="1">
        <f>SUM('DEC2018'!H1490:H1496)</f>
        <v>212609</v>
      </c>
    </row>
    <row r="128" spans="1:2" x14ac:dyDescent="0.2">
      <c r="B128" s="1">
        <f>+B126-B127</f>
        <v>25991</v>
      </c>
    </row>
    <row r="129" spans="1:2" x14ac:dyDescent="0.2">
      <c r="A129" t="s">
        <v>481</v>
      </c>
      <c r="B129" s="1">
        <f>+[4]NOV30!$I$1649-'DEC2018'!H1498</f>
        <v>2329.8499999999767</v>
      </c>
    </row>
    <row r="131" spans="1:2" x14ac:dyDescent="0.2">
      <c r="A131" t="s">
        <v>482</v>
      </c>
    </row>
    <row r="132" spans="1:2" x14ac:dyDescent="0.2">
      <c r="A132" t="s">
        <v>424</v>
      </c>
      <c r="B132" s="1">
        <f>+[4]NOV30!$I$1668-'DEC2018'!H1517</f>
        <v>342960.46000000834</v>
      </c>
    </row>
    <row r="133" spans="1:2" x14ac:dyDescent="0.2">
      <c r="A133" t="s">
        <v>483</v>
      </c>
      <c r="B133" s="1">
        <f>+[4]NOV30!$I$1683-'DEC2018'!H1533</f>
        <v>641630.03999999911</v>
      </c>
    </row>
    <row r="135" spans="1:2" x14ac:dyDescent="0.2">
      <c r="A135" t="s">
        <v>484</v>
      </c>
    </row>
    <row r="136" spans="1:2" x14ac:dyDescent="0.2">
      <c r="A136" t="s">
        <v>424</v>
      </c>
      <c r="B136" s="1">
        <f>+[4]NOV30!$I$1709-'DEC2018'!H1558</f>
        <v>1611662.1099999994</v>
      </c>
    </row>
    <row r="137" spans="1:2" x14ac:dyDescent="0.2">
      <c r="A137" t="s">
        <v>426</v>
      </c>
      <c r="B137" s="1">
        <f>+[4]NOV30!$I$1722-'DEC2018'!H1570</f>
        <v>1904206.299999997</v>
      </c>
    </row>
    <row r="139" spans="1:2" x14ac:dyDescent="0.2">
      <c r="A139" t="s">
        <v>420</v>
      </c>
    </row>
    <row r="140" spans="1:2" x14ac:dyDescent="0.2">
      <c r="A140" t="s">
        <v>424</v>
      </c>
      <c r="B140" s="1">
        <f>+[4]NOV30!$I$1734-'DEC2018'!H1583</f>
        <v>0</v>
      </c>
    </row>
    <row r="141" spans="1:2" x14ac:dyDescent="0.2">
      <c r="A141" t="s">
        <v>426</v>
      </c>
      <c r="B141" s="1">
        <f>+[4]NOV30!$I$1736-'DEC2018'!H1585</f>
        <v>198605.75999999978</v>
      </c>
    </row>
  </sheetData>
  <mergeCells count="1">
    <mergeCell ref="C1:E1"/>
  </mergeCells>
  <pageMargins left="0.7" right="0.7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49" workbookViewId="0">
      <selection activeCell="C49" sqref="C49"/>
    </sheetView>
  </sheetViews>
  <sheetFormatPr defaultRowHeight="12.75" x14ac:dyDescent="0.2"/>
  <cols>
    <col min="1" max="1" width="13" style="1" bestFit="1" customWidth="1"/>
  </cols>
  <sheetData>
    <row r="1" spans="1:1" x14ac:dyDescent="0.2">
      <c r="A1" s="1" t="s">
        <v>148</v>
      </c>
    </row>
    <row r="3" spans="1:1" x14ac:dyDescent="0.2">
      <c r="A3" s="1">
        <v>39683.18</v>
      </c>
    </row>
    <row r="4" spans="1:1" x14ac:dyDescent="0.2">
      <c r="A4" s="1">
        <v>36966.32</v>
      </c>
    </row>
    <row r="5" spans="1:1" x14ac:dyDescent="0.2">
      <c r="A5" s="1">
        <v>34921.19</v>
      </c>
    </row>
    <row r="6" spans="1:1" x14ac:dyDescent="0.2">
      <c r="A6" s="1">
        <v>11015.85</v>
      </c>
    </row>
    <row r="7" spans="1:1" x14ac:dyDescent="0.2">
      <c r="A7" s="1">
        <v>43442.31</v>
      </c>
    </row>
    <row r="8" spans="1:1" x14ac:dyDescent="0.2">
      <c r="A8" s="1">
        <v>44852.36</v>
      </c>
    </row>
    <row r="9" spans="1:1" x14ac:dyDescent="0.2">
      <c r="A9" s="1">
        <v>50952.92</v>
      </c>
    </row>
    <row r="10" spans="1:1" x14ac:dyDescent="0.2">
      <c r="A10" s="1">
        <v>51354.71</v>
      </c>
    </row>
    <row r="11" spans="1:1" x14ac:dyDescent="0.2">
      <c r="A11" s="1">
        <v>11161.48</v>
      </c>
    </row>
    <row r="13" spans="1:1" x14ac:dyDescent="0.2">
      <c r="A13" s="1">
        <v>42243.4</v>
      </c>
    </row>
    <row r="14" spans="1:1" x14ac:dyDescent="0.2">
      <c r="A14" s="1">
        <v>11690.66</v>
      </c>
    </row>
    <row r="15" spans="1:1" x14ac:dyDescent="0.2">
      <c r="A15" s="1">
        <v>38495.03</v>
      </c>
    </row>
    <row r="16" spans="1:1" x14ac:dyDescent="0.2">
      <c r="A16" s="1">
        <v>10230.049999999999</v>
      </c>
    </row>
    <row r="17" spans="1:1" x14ac:dyDescent="0.2">
      <c r="A17" s="1">
        <v>31294.400000000001</v>
      </c>
    </row>
    <row r="18" spans="1:1" x14ac:dyDescent="0.2">
      <c r="A18" s="1">
        <v>36288.199999999997</v>
      </c>
    </row>
    <row r="19" spans="1:1" x14ac:dyDescent="0.2">
      <c r="A19" s="1">
        <v>29927.4</v>
      </c>
    </row>
    <row r="20" spans="1:1" x14ac:dyDescent="0.2">
      <c r="A20" s="1">
        <v>28506.799999999999</v>
      </c>
    </row>
    <row r="21" spans="1:1" x14ac:dyDescent="0.2">
      <c r="A21" s="1">
        <v>9447.5300000000007</v>
      </c>
    </row>
    <row r="22" spans="1:1" x14ac:dyDescent="0.2">
      <c r="A22" s="1">
        <v>43461</v>
      </c>
    </row>
    <row r="23" spans="1:1" x14ac:dyDescent="0.2">
      <c r="A23" s="1">
        <v>17739.72</v>
      </c>
    </row>
    <row r="24" spans="1:1" x14ac:dyDescent="0.2">
      <c r="A24" s="1">
        <v>39604.92</v>
      </c>
    </row>
    <row r="25" spans="1:1" x14ac:dyDescent="0.2">
      <c r="A25" s="1">
        <v>36354.99</v>
      </c>
    </row>
    <row r="26" spans="1:1" x14ac:dyDescent="0.2">
      <c r="A26" s="1">
        <v>34993.230000000003</v>
      </c>
    </row>
    <row r="27" spans="1:1" x14ac:dyDescent="0.2">
      <c r="A27" s="1">
        <v>36603.99</v>
      </c>
    </row>
    <row r="28" spans="1:1" x14ac:dyDescent="0.2">
      <c r="A28" s="1">
        <v>43502.53</v>
      </c>
    </row>
    <row r="29" spans="1:1" x14ac:dyDescent="0.2">
      <c r="A29" s="1">
        <v>23568.85</v>
      </c>
    </row>
    <row r="30" spans="1:1" x14ac:dyDescent="0.2">
      <c r="A30" s="1">
        <v>37017.839999999997</v>
      </c>
    </row>
    <row r="31" spans="1:1" x14ac:dyDescent="0.2">
      <c r="A31" s="1">
        <v>46759.21</v>
      </c>
    </row>
    <row r="32" spans="1:1" x14ac:dyDescent="0.2">
      <c r="A32" s="1">
        <v>20554.400000000001</v>
      </c>
    </row>
    <row r="33" spans="1:1" x14ac:dyDescent="0.2">
      <c r="A33" s="1">
        <v>28922.68</v>
      </c>
    </row>
    <row r="34" spans="1:1" x14ac:dyDescent="0.2">
      <c r="A34" s="1">
        <v>49406.8</v>
      </c>
    </row>
    <row r="35" spans="1:1" x14ac:dyDescent="0.2">
      <c r="A35" s="1">
        <v>8101.01</v>
      </c>
    </row>
    <row r="36" spans="1:1" x14ac:dyDescent="0.2">
      <c r="A36" s="1">
        <v>38727.339999999997</v>
      </c>
    </row>
    <row r="37" spans="1:1" x14ac:dyDescent="0.2">
      <c r="A37" s="1">
        <v>38349.22</v>
      </c>
    </row>
    <row r="39" spans="1:1" x14ac:dyDescent="0.2">
      <c r="A39" s="1">
        <v>49919.7</v>
      </c>
    </row>
    <row r="40" spans="1:1" x14ac:dyDescent="0.2">
      <c r="A40" s="1">
        <v>50734.559999999998</v>
      </c>
    </row>
    <row r="41" spans="1:1" x14ac:dyDescent="0.2">
      <c r="A41" s="1">
        <v>30875.43</v>
      </c>
    </row>
    <row r="42" spans="1:1" x14ac:dyDescent="0.2">
      <c r="A42" s="1">
        <v>9053.67</v>
      </c>
    </row>
    <row r="43" spans="1:1" x14ac:dyDescent="0.2">
      <c r="A43" s="1">
        <v>33377.279999999999</v>
      </c>
    </row>
    <row r="44" spans="1:1" x14ac:dyDescent="0.2">
      <c r="A44" s="1">
        <v>19257.39</v>
      </c>
    </row>
    <row r="45" spans="1:1" x14ac:dyDescent="0.2">
      <c r="A45" s="1">
        <v>42363.21</v>
      </c>
    </row>
    <row r="46" spans="1:1" x14ac:dyDescent="0.2">
      <c r="A46" s="1">
        <v>29820.83</v>
      </c>
    </row>
    <row r="47" spans="1:1" x14ac:dyDescent="0.2">
      <c r="A47" s="1">
        <v>40952.49</v>
      </c>
    </row>
    <row r="48" spans="1:1" x14ac:dyDescent="0.2">
      <c r="A48" s="1">
        <v>10491.51</v>
      </c>
    </row>
    <row r="49" spans="1:1" x14ac:dyDescent="0.2">
      <c r="A49" s="1">
        <v>22171.200000000001</v>
      </c>
    </row>
    <row r="50" spans="1:1" x14ac:dyDescent="0.2">
      <c r="A50" s="1">
        <v>28838.400000000001</v>
      </c>
    </row>
    <row r="51" spans="1:1" x14ac:dyDescent="0.2">
      <c r="A51" s="1">
        <v>5450.82</v>
      </c>
    </row>
    <row r="52" spans="1:1" x14ac:dyDescent="0.2">
      <c r="A52" s="1">
        <v>29150.34</v>
      </c>
    </row>
    <row r="53" spans="1:1" x14ac:dyDescent="0.2">
      <c r="A53" s="1">
        <v>43342.27</v>
      </c>
    </row>
    <row r="54" spans="1:1" x14ac:dyDescent="0.2">
      <c r="A54" s="1">
        <v>47130.239999999998</v>
      </c>
    </row>
    <row r="56" spans="1:1" x14ac:dyDescent="0.2">
      <c r="A56" s="1">
        <v>22122.03</v>
      </c>
    </row>
    <row r="57" spans="1:1" x14ac:dyDescent="0.2">
      <c r="A57" s="1">
        <v>37957.29</v>
      </c>
    </row>
    <row r="58" spans="1:1" x14ac:dyDescent="0.2">
      <c r="A58" s="1">
        <v>35331.19</v>
      </c>
    </row>
    <row r="59" spans="1:1" x14ac:dyDescent="0.2">
      <c r="A59" s="1">
        <v>36366.629999999997</v>
      </c>
    </row>
    <row r="60" spans="1:1" x14ac:dyDescent="0.2">
      <c r="A60" s="1">
        <v>42776.76</v>
      </c>
    </row>
    <row r="61" spans="1:1" x14ac:dyDescent="0.2">
      <c r="A61" s="1">
        <v>25684.48</v>
      </c>
    </row>
    <row r="62" spans="1:1" x14ac:dyDescent="0.2">
      <c r="A62" s="1">
        <v>16226.06</v>
      </c>
    </row>
    <row r="63" spans="1:1" x14ac:dyDescent="0.2">
      <c r="A63" s="1">
        <v>29223.95</v>
      </c>
    </row>
    <row r="64" spans="1:1" x14ac:dyDescent="0.2">
      <c r="A64" s="1">
        <v>9410.6299999999992</v>
      </c>
    </row>
    <row r="65" spans="1:1" x14ac:dyDescent="0.2">
      <c r="A65" s="1">
        <v>32654.92</v>
      </c>
    </row>
    <row r="66" spans="1:1" x14ac:dyDescent="0.2">
      <c r="A66" s="1">
        <v>37902.33</v>
      </c>
    </row>
    <row r="67" spans="1:1" x14ac:dyDescent="0.2">
      <c r="A67" s="1">
        <v>34982.65</v>
      </c>
    </row>
    <row r="68" spans="1:1" x14ac:dyDescent="0.2">
      <c r="A68" s="1">
        <v>40120.5</v>
      </c>
    </row>
    <row r="69" spans="1:1" x14ac:dyDescent="0.2">
      <c r="A69" s="1">
        <v>35049.29</v>
      </c>
    </row>
    <row r="70" spans="1:1" x14ac:dyDescent="0.2">
      <c r="A70" s="1">
        <v>61210.99</v>
      </c>
    </row>
    <row r="71" spans="1:1" x14ac:dyDescent="0.2">
      <c r="A71" s="1">
        <v>35573.629999999997</v>
      </c>
    </row>
    <row r="72" spans="1:1" x14ac:dyDescent="0.2">
      <c r="A72" s="1">
        <v>40585.29</v>
      </c>
    </row>
    <row r="73" spans="1:1" x14ac:dyDescent="0.2">
      <c r="A73" s="1">
        <v>39252.199999999997</v>
      </c>
    </row>
    <row r="74" spans="1:1" x14ac:dyDescent="0.2">
      <c r="A74" s="1">
        <v>38832.21</v>
      </c>
    </row>
    <row r="75" spans="1:1" x14ac:dyDescent="0.2">
      <c r="A75" s="1">
        <v>48694.77</v>
      </c>
    </row>
    <row r="76" spans="1:1" x14ac:dyDescent="0.2">
      <c r="A76" s="1">
        <v>42399.13</v>
      </c>
    </row>
    <row r="77" spans="1:1" x14ac:dyDescent="0.2">
      <c r="A77" s="1">
        <v>70781</v>
      </c>
    </row>
    <row r="79" spans="1:1" x14ac:dyDescent="0.2">
      <c r="A79" s="1">
        <f>SUM(A3:A77)</f>
        <v>2412208.79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DEC2018</vt:lpstr>
      <vt:lpstr>sb1</vt:lpstr>
      <vt:lpstr>sb2</vt:lpstr>
      <vt:lpstr>sb3</vt:lpstr>
      <vt:lpstr>sb4</vt:lpstr>
      <vt:lpstr>udit</vt:lpstr>
      <vt:lpstr>Sheet1</vt:lpstr>
      <vt:lpstr>'DEC2018'!Print_Titles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villanueva</dc:creator>
  <cp:lastModifiedBy>PB-092</cp:lastModifiedBy>
  <cp:lastPrinted>2019-01-14T03:14:46Z</cp:lastPrinted>
  <dcterms:created xsi:type="dcterms:W3CDTF">2018-12-26T12:36:11Z</dcterms:created>
  <dcterms:modified xsi:type="dcterms:W3CDTF">2019-09-06T07:18:16Z</dcterms:modified>
</cp:coreProperties>
</file>